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trlProps/ctrlProp6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6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7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8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GEFS01\Departments\Our Documents\College Editorial\Research Methods\1. Active Projects\Pollock\Excel Companion to Political Analysis 1e\Digital Resources\Excel Companion Workbooks\"/>
    </mc:Choice>
  </mc:AlternateContent>
  <xr:revisionPtr revIDLastSave="0" documentId="13_ncr:1_{410C3757-94CF-43BD-A330-68B3F1375FE3}" xr6:coauthVersionLast="47" xr6:coauthVersionMax="47" xr10:uidLastSave="{00000000-0000-0000-0000-000000000000}"/>
  <bookViews>
    <workbookView xWindow="-28920" yWindow="-75" windowWidth="29040" windowHeight="15840" tabRatio="763" xr2:uid="{1F8727C3-3B6F-48D6-B093-538235F0BE84}"/>
  </bookViews>
  <sheets>
    <sheet name="Cover Sheet" sheetId="8" r:id="rId1"/>
    <sheet name="CI Proportion" sheetId="7" r:id="rId2"/>
    <sheet name="CI Mean" sheetId="6" r:id="rId3"/>
    <sheet name="CI Diff. Proportions" sheetId="9" r:id="rId4"/>
    <sheet name="CI Diff. Means" sheetId="11" r:id="rId5"/>
    <sheet name="One Proportion Test" sheetId="2" r:id="rId6"/>
    <sheet name="One Mean Test" sheetId="1" r:id="rId7"/>
    <sheet name="Two Proportions Test" sheetId="3" r:id="rId8"/>
    <sheet name="Two Means Test" sheetId="5" r:id="rId9"/>
    <sheet name="Normality of Residuals" sheetId="10" r:id="rId10"/>
  </sheets>
  <definedNames>
    <definedName name="alpha" localSheetId="4">'CI Diff. Means'!$H$4</definedName>
    <definedName name="alpha" localSheetId="3">'CI Diff. Proportions'!$H$4</definedName>
    <definedName name="alpha" localSheetId="2">'CI Mean'!$I$4</definedName>
    <definedName name="alpha" localSheetId="1">'CI Proportion'!$G$4</definedName>
    <definedName name="alpha" localSheetId="9">'Normality of Residuals'!$I$14</definedName>
    <definedName name="alpha" localSheetId="6">'One Mean Test'!$D$8</definedName>
    <definedName name="alpha" localSheetId="5">'One Proportion Test'!$C$5</definedName>
    <definedName name="alpha" localSheetId="8">'Two Means Test'!$C$5</definedName>
    <definedName name="alpha" localSheetId="7">'Two Proportions Test'!$E$4</definedName>
    <definedName name="assumption_sd" localSheetId="8">'Two Means Test'!$C$59</definedName>
    <definedName name="conf.norm" localSheetId="2">'CI Mean'!$D$21</definedName>
    <definedName name="conf.t" localSheetId="2">'CI Mean'!$D$22</definedName>
    <definedName name="critical_value" localSheetId="4">'CI Diff. Means'!$D$28</definedName>
    <definedName name="critical_value" localSheetId="2">'CI Mean'!$D$31</definedName>
    <definedName name="df" localSheetId="6">'One Mean Test'!$D$24</definedName>
    <definedName name="df_equal_sd" localSheetId="8">'Two Means Test'!$D$41</definedName>
    <definedName name="df_unequal_sd" localSheetId="8">'Two Means Test'!$D$33</definedName>
    <definedName name="difference" localSheetId="4">'CI Diff. Means'!$D$22</definedName>
    <definedName name="difference" localSheetId="3">'CI Diff. Proportions'!$E$20</definedName>
    <definedName name="hypo_type" localSheetId="6">'One Mean Test'!$D$36</definedName>
    <definedName name="hypo_type" localSheetId="5">'One Proportion Test'!$C$27</definedName>
    <definedName name="hypo_type" localSheetId="8">'Two Means Test'!$C$58</definedName>
    <definedName name="hypo_type" localSheetId="7">'Two Proportions Test'!$C$28</definedName>
    <definedName name="kurtosis" localSheetId="9">'Normality of Residuals'!$I$11</definedName>
    <definedName name="me" localSheetId="4">'CI Diff. Means'!$E$19</definedName>
    <definedName name="me" localSheetId="3">'CI Diff. Proportions'!$E$17</definedName>
    <definedName name="me" localSheetId="2">'CI Mean'!$D$18</definedName>
    <definedName name="me" localSheetId="1">'CI Proportion'!$D$16</definedName>
    <definedName name="mean" localSheetId="2">'CI Mean'!$D$5</definedName>
    <definedName name="mean" localSheetId="6">'One Mean Test'!$D$9</definedName>
    <definedName name="mean_1" localSheetId="4">'CI Diff. Means'!$D$6</definedName>
    <definedName name="mean_1" localSheetId="8">'Two Means Test'!$C$13</definedName>
    <definedName name="mean_2" localSheetId="4">'CI Diff. Means'!$H$6</definedName>
    <definedName name="mean_2" localSheetId="8">'Two Means Test'!$F$13</definedName>
    <definedName name="n" localSheetId="2">'CI Mean'!$D$6</definedName>
    <definedName name="n" localSheetId="1">'CI Proportion'!$C$6</definedName>
    <definedName name="n" localSheetId="6">'One Mean Test'!$D$10</definedName>
    <definedName name="n.sample" localSheetId="9">'Normality of Residuals'!$I$7</definedName>
    <definedName name="n_1" localSheetId="4">'CI Diff. Means'!$D$7</definedName>
    <definedName name="n_1" localSheetId="3">'CI Diff. Proportions'!$D$7</definedName>
    <definedName name="n_1" localSheetId="8">'Two Means Test'!$C$14</definedName>
    <definedName name="n_1" localSheetId="7">'Two Proportions Test'!$C$11</definedName>
    <definedName name="n_2" localSheetId="4">'CI Diff. Means'!$H$7</definedName>
    <definedName name="n_2" localSheetId="3">'CI Diff. Proportions'!$H$7</definedName>
    <definedName name="n_2" localSheetId="8">'Two Means Test'!$F$14</definedName>
    <definedName name="n_2" localSheetId="7">'Two Proportions Test'!$E$11</definedName>
    <definedName name="null_hypo_diff" localSheetId="8">'Two Means Test'!$C$4</definedName>
    <definedName name="null_hypo_diff" localSheetId="7">'Two Proportions Test'!$C$4</definedName>
    <definedName name="null_hypo_mean" localSheetId="6">'One Mean Test'!$D$4</definedName>
    <definedName name="null_hypo_p" localSheetId="5">'One Proportion Test'!$C$4</definedName>
    <definedName name="p" localSheetId="1">'CI Proportion'!$C$5</definedName>
    <definedName name="p_1" localSheetId="3">'CI Diff. Proportions'!$D$6</definedName>
    <definedName name="p_1" localSheetId="7">'Two Proportions Test'!$C$10</definedName>
    <definedName name="p_2" localSheetId="3">'CI Diff. Proportions'!$H$6</definedName>
    <definedName name="p_2" localSheetId="7">'Two Proportions Test'!$E$10</definedName>
    <definedName name="p_using_t" localSheetId="6">'One Mean Test'!$D$28</definedName>
    <definedName name="p_using_t_equal_sd" localSheetId="8">'Two Means Test'!$D$48</definedName>
    <definedName name="p_using_t_unequal_sd" localSheetId="8">'Two Means Test'!$D$39</definedName>
    <definedName name="p_using_z" localSheetId="6">'One Mean Test'!$D$33</definedName>
    <definedName name="p_using_z" localSheetId="8">'Two Means Test'!$D$55</definedName>
    <definedName name="p_value" localSheetId="6">'One Mean Test'!$D$15</definedName>
    <definedName name="p_value" localSheetId="5">'One Proportion Test'!$C$14</definedName>
    <definedName name="p_value" localSheetId="8">'Two Means Test'!$C$23</definedName>
    <definedName name="p_value" localSheetId="7">'Two Proportions Test'!$C$14</definedName>
    <definedName name="pooled_p" localSheetId="7">'Two Proportions Test'!$C$20</definedName>
    <definedName name="pooled_sample_var" localSheetId="8">'Two Means Test'!$D$42</definedName>
    <definedName name="pooled_se" localSheetId="7">'Two Proportions Test'!$C$21</definedName>
    <definedName name="pop_sd_known" localSheetId="4">'CI Diff. Means'!$E$31</definedName>
    <definedName name="pop_sd_known" localSheetId="2">'CI Mean'!$C$25</definedName>
    <definedName name="pop_sd_known" localSheetId="6">'One Mean Test'!$D$37</definedName>
    <definedName name="residuals" localSheetId="9">'Normality of Residuals'!$C:$C</definedName>
    <definedName name="sample_diff_minus_null_hypo_diff" localSheetId="8">'Two Means Test'!$D$29</definedName>
    <definedName name="sample_diff_minus_null_hypo_diff" localSheetId="7">'Two Proportions Test'!$C$19</definedName>
    <definedName name="sample_n" localSheetId="5">'One Proportion Test'!$C$11</definedName>
    <definedName name="sample_p" localSheetId="5">'One Proportion Test'!$C$10</definedName>
    <definedName name="sd" localSheetId="6">'One Mean Test'!$D$12</definedName>
    <definedName name="sd_1" localSheetId="4">'CI Diff. Means'!$D$9</definedName>
    <definedName name="sd_1" localSheetId="8">'Two Means Test'!$C$15</definedName>
    <definedName name="sd_2" localSheetId="4">'CI Diff. Means'!$H$9</definedName>
    <definedName name="sd_2" localSheetId="8">'Two Means Test'!$F$15</definedName>
    <definedName name="se" localSheetId="2">'CI Mean'!$D$29</definedName>
    <definedName name="se" localSheetId="1">'CI Proportion'!$F$19</definedName>
    <definedName name="se" localSheetId="6">'One Mean Test'!$D$20</definedName>
    <definedName name="se_1" localSheetId="4">'CI Diff. Means'!$D$23</definedName>
    <definedName name="se_1" localSheetId="3">'CI Diff. Proportions'!$E$21</definedName>
    <definedName name="se_1" localSheetId="8">'Two Means Test'!$D$30</definedName>
    <definedName name="se_2" localSheetId="4">'CI Diff. Means'!$D$24</definedName>
    <definedName name="se_2" localSheetId="3">'CI Diff. Proportions'!$E$22</definedName>
    <definedName name="se_2" localSheetId="8">'Two Means Test'!$D$31</definedName>
    <definedName name="se_diff" localSheetId="8">'Two Means Test'!$D$34</definedName>
    <definedName name="se_diff_equal_sd" localSheetId="8">'Two Means Test'!$D$43</definedName>
    <definedName name="se_difference" localSheetId="4">'CI Diff. Means'!$D$25</definedName>
    <definedName name="se_difference" localSheetId="3">'CI Diff. Proportions'!$E$23</definedName>
    <definedName name="se_of_null_hypo_p" localSheetId="5">'One Proportion Test'!$C$20</definedName>
    <definedName name="skewness" localSheetId="9">'Normality of Residuals'!$I$10</definedName>
    <definedName name="stdev" localSheetId="2">'CI Mean'!$D$8</definedName>
    <definedName name="stdev" localSheetId="9">'Normality of Residuals'!$I$9</definedName>
    <definedName name="t_2t" localSheetId="8">'Two Means Test'!$D$38</definedName>
    <definedName name="t_df" localSheetId="4">'CI Diff. Means'!$D$27</definedName>
    <definedName name="t_equal_sd_2t" localSheetId="8">'Two Means Test'!$D$47</definedName>
    <definedName name="t_equal_sd_lt" localSheetId="8">'Two Means Test'!$D$45</definedName>
    <definedName name="t_equal_sd_ut" localSheetId="8">'Two Means Test'!$D$46</definedName>
    <definedName name="t_lower_tail" localSheetId="6">'One Mean Test'!$D$25</definedName>
    <definedName name="t_lt" localSheetId="8">'Two Means Test'!$D$36</definedName>
    <definedName name="t_stat_equal_sd" localSheetId="8">'Two Means Test'!$D$44</definedName>
    <definedName name="t_stat_unequal_sd" localSheetId="8">'Two Means Test'!$D$35</definedName>
    <definedName name="t_two_tails" localSheetId="6">'One Mean Test'!$D$27</definedName>
    <definedName name="t_upper_tail" localSheetId="6">'One Mean Test'!$D$26</definedName>
    <definedName name="t_ut" localSheetId="8">'Two Means Test'!$D$37</definedName>
    <definedName name="test_stat" localSheetId="6">'One Mean Test'!$D$21</definedName>
    <definedName name="z.residuals" localSheetId="9">'Normality of Residuals'!#REF!</definedName>
    <definedName name="z_2t" localSheetId="5">'One Proportion Test'!$C$24</definedName>
    <definedName name="z_2t" localSheetId="8">'Two Means Test'!$D$54</definedName>
    <definedName name="z_2t" localSheetId="7">'Two Proportions Test'!$C$25</definedName>
    <definedName name="Z_critical" localSheetId="3">'CI Diff. Proportions'!$E$25</definedName>
    <definedName name="Z_critical" localSheetId="1">'CI Proportion'!$F$21</definedName>
    <definedName name="z_lower_tail" localSheetId="6">'One Mean Test'!$D$30</definedName>
    <definedName name="z_lt" localSheetId="5">'One Proportion Test'!$C$22</definedName>
    <definedName name="z_lt" localSheetId="8">'Two Means Test'!$D$52</definedName>
    <definedName name="z_lt" localSheetId="7">'Two Proportions Test'!$C$23</definedName>
    <definedName name="z_statistic" localSheetId="5">'One Proportion Test'!$C$21</definedName>
    <definedName name="z_statistic" localSheetId="8">'Two Means Test'!$D$51</definedName>
    <definedName name="z_statistic" localSheetId="7">'Two Proportions Test'!$C$22</definedName>
    <definedName name="z_two_tails" localSheetId="6">'One Mean Test'!$D$32</definedName>
    <definedName name="z_upper_tail" localSheetId="6">'One Mean Test'!$D$31</definedName>
    <definedName name="z_ut" localSheetId="5">'One Proportion Test'!$C$23</definedName>
    <definedName name="z_ut" localSheetId="8">'Two Means Test'!$D$53</definedName>
    <definedName name="z_ut" localSheetId="7">'Two Proportions Test'!$C$24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2" l="1"/>
  <c r="H15" i="1"/>
  <c r="C16" i="2"/>
  <c r="L18" i="10"/>
  <c r="L19" i="10"/>
  <c r="J7" i="10"/>
  <c r="Q18" i="10"/>
  <c r="L21" i="10"/>
  <c r="J9" i="10"/>
  <c r="Q20" i="10"/>
  <c r="J8" i="10"/>
  <c r="L20" i="10"/>
  <c r="Q19" i="10"/>
  <c r="J10" i="10"/>
  <c r="J11" i="10"/>
  <c r="G9" i="11" l="1"/>
  <c r="C9" i="11"/>
  <c r="D24" i="11"/>
  <c r="D23" i="11"/>
  <c r="D22" i="11"/>
  <c r="E17" i="11" s="1"/>
  <c r="E10" i="11"/>
  <c r="H4" i="11"/>
  <c r="E23" i="11"/>
  <c r="G16" i="11"/>
  <c r="E26" i="11"/>
  <c r="G17" i="11"/>
  <c r="E28" i="11"/>
  <c r="E27" i="11"/>
  <c r="E25" i="11"/>
  <c r="E22" i="11"/>
  <c r="G19" i="11"/>
  <c r="E24" i="11"/>
  <c r="G18" i="11"/>
  <c r="D27" i="11" l="1"/>
  <c r="D25" i="11"/>
  <c r="D28" i="11"/>
  <c r="D26" i="11"/>
  <c r="P20" i="10"/>
  <c r="R14" i="10"/>
  <c r="R8" i="10"/>
  <c r="R9" i="10"/>
  <c r="R10" i="10"/>
  <c r="R11" i="10"/>
  <c r="R12" i="10"/>
  <c r="R13" i="10"/>
  <c r="R7" i="10"/>
  <c r="K19" i="10"/>
  <c r="K21" i="10" s="1"/>
  <c r="I8" i="10"/>
  <c r="I11" i="10"/>
  <c r="I10" i="10"/>
  <c r="I9" i="10"/>
  <c r="L28" i="10" s="1"/>
  <c r="I7" i="10"/>
  <c r="M41" i="10"/>
  <c r="M34" i="10"/>
  <c r="M43" i="10"/>
  <c r="M30" i="10"/>
  <c r="M39" i="10"/>
  <c r="M42" i="10"/>
  <c r="M45" i="10"/>
  <c r="M29" i="10"/>
  <c r="M28" i="10"/>
  <c r="M38" i="10"/>
  <c r="M44" i="10"/>
  <c r="M31" i="10"/>
  <c r="M27" i="10"/>
  <c r="M40" i="10"/>
  <c r="M33" i="10"/>
  <c r="M32" i="10"/>
  <c r="E19" i="11" l="1"/>
  <c r="E16" i="11" s="1"/>
  <c r="P18" i="10"/>
  <c r="E18" i="11"/>
  <c r="L40" i="10"/>
  <c r="L34" i="10"/>
  <c r="L32" i="10"/>
  <c r="L30" i="10"/>
  <c r="L27" i="10"/>
  <c r="L33" i="10"/>
  <c r="L31" i="10"/>
  <c r="L29" i="10"/>
  <c r="L43" i="10"/>
  <c r="L45" i="10"/>
  <c r="P19" i="10"/>
  <c r="L39" i="10"/>
  <c r="L41" i="10"/>
  <c r="L38" i="10"/>
  <c r="L44" i="10"/>
  <c r="L42" i="10"/>
  <c r="P21" i="10" l="1"/>
  <c r="P22" i="10"/>
  <c r="K20" i="10"/>
  <c r="K23" i="10" s="1"/>
  <c r="D49" i="5"/>
  <c r="D40" i="5"/>
  <c r="D32" i="5"/>
  <c r="D41" i="5"/>
  <c r="C47" i="5" s="1"/>
  <c r="E51" i="5"/>
  <c r="E46" i="5"/>
  <c r="E35" i="5"/>
  <c r="E44" i="5"/>
  <c r="E47" i="5"/>
  <c r="E41" i="5"/>
  <c r="E45" i="5"/>
  <c r="E50" i="5"/>
  <c r="K18" i="10" l="1"/>
  <c r="K22" i="10"/>
  <c r="C46" i="5"/>
  <c r="C45" i="5"/>
  <c r="E15" i="5"/>
  <c r="B15" i="5"/>
  <c r="D29" i="5"/>
  <c r="I7" i="9"/>
  <c r="I6" i="9"/>
  <c r="E8" i="9"/>
  <c r="C8" i="9"/>
  <c r="E22" i="9"/>
  <c r="E21" i="9"/>
  <c r="E20" i="9"/>
  <c r="H4" i="9"/>
  <c r="E25" i="9" s="1"/>
  <c r="D5" i="2"/>
  <c r="D4" i="2"/>
  <c r="G21" i="9"/>
  <c r="E53" i="5"/>
  <c r="E43" i="5"/>
  <c r="G14" i="9"/>
  <c r="E55" i="5"/>
  <c r="E33" i="5"/>
  <c r="E42" i="5"/>
  <c r="E36" i="5"/>
  <c r="G16" i="9"/>
  <c r="G20" i="9"/>
  <c r="E52" i="5"/>
  <c r="E48" i="5"/>
  <c r="G25" i="9"/>
  <c r="E38" i="5"/>
  <c r="G22" i="9"/>
  <c r="E54" i="5"/>
  <c r="C26" i="5"/>
  <c r="G17" i="9"/>
  <c r="G15" i="9"/>
  <c r="G23" i="9"/>
  <c r="E30" i="5"/>
  <c r="E34" i="5"/>
  <c r="E31" i="5"/>
  <c r="E39" i="5"/>
  <c r="E37" i="5"/>
  <c r="C25" i="5"/>
  <c r="E29" i="5"/>
  <c r="E23" i="9" l="1"/>
  <c r="E17" i="9" s="1"/>
  <c r="E16" i="9" s="1"/>
  <c r="E15" i="9"/>
  <c r="E14" i="9" l="1"/>
  <c r="C20" i="3"/>
  <c r="C21" i="3" s="1"/>
  <c r="C19" i="3"/>
  <c r="D11" i="2"/>
  <c r="C20" i="2"/>
  <c r="D10" i="2"/>
  <c r="D20" i="2"/>
  <c r="C15" i="2"/>
  <c r="D25" i="3"/>
  <c r="D19" i="3"/>
  <c r="D24" i="3"/>
  <c r="D21" i="3"/>
  <c r="D24" i="2"/>
  <c r="D20" i="3"/>
  <c r="C17" i="2"/>
  <c r="D14" i="3"/>
  <c r="C16" i="3"/>
  <c r="D22" i="2"/>
  <c r="D23" i="2"/>
  <c r="D23" i="3"/>
  <c r="D21" i="2"/>
  <c r="D22" i="3"/>
  <c r="C22" i="3" l="1"/>
  <c r="C23" i="3" s="1"/>
  <c r="C24" i="3" l="1"/>
  <c r="D31" i="5"/>
  <c r="D42" i="5" l="1"/>
  <c r="D43" i="5" s="1"/>
  <c r="D30" i="5"/>
  <c r="C25" i="3"/>
  <c r="C14" i="3" s="1"/>
  <c r="C15" i="3" s="1"/>
  <c r="E12" i="1"/>
  <c r="E9" i="1"/>
  <c r="E4" i="1"/>
  <c r="D24" i="1"/>
  <c r="D22" i="1" s="1"/>
  <c r="D20" i="1"/>
  <c r="D21" i="1" s="1"/>
  <c r="D31" i="1" s="1"/>
  <c r="E10" i="1"/>
  <c r="C12" i="1"/>
  <c r="E20" i="1"/>
  <c r="E24" i="1"/>
  <c r="E26" i="1"/>
  <c r="E27" i="1"/>
  <c r="E21" i="1"/>
  <c r="E33" i="1"/>
  <c r="E15" i="1"/>
  <c r="E30" i="1"/>
  <c r="E22" i="1"/>
  <c r="E28" i="1"/>
  <c r="E32" i="1"/>
  <c r="E31" i="1"/>
  <c r="E25" i="1"/>
  <c r="D17" i="1"/>
  <c r="D50" i="5" l="1"/>
  <c r="D33" i="5"/>
  <c r="D44" i="5"/>
  <c r="D46" i="5" s="1"/>
  <c r="D34" i="5"/>
  <c r="C23" i="1"/>
  <c r="D26" i="1"/>
  <c r="D25" i="1"/>
  <c r="D27" i="1"/>
  <c r="D30" i="1"/>
  <c r="D28" i="1" l="1"/>
  <c r="D47" i="5"/>
  <c r="D48" i="5" s="1"/>
  <c r="D45" i="5"/>
  <c r="D51" i="5"/>
  <c r="D35" i="5"/>
  <c r="C38" i="5"/>
  <c r="C36" i="5"/>
  <c r="C37" i="5"/>
  <c r="D32" i="1"/>
  <c r="D33" i="1"/>
  <c r="D15" i="1" s="1"/>
  <c r="C8" i="6"/>
  <c r="D16" i="6"/>
  <c r="D38" i="5" l="1"/>
  <c r="D37" i="5"/>
  <c r="D39" i="5" s="1"/>
  <c r="C23" i="5" s="1"/>
  <c r="D53" i="5"/>
  <c r="D52" i="5"/>
  <c r="D36" i="5"/>
  <c r="D29" i="6"/>
  <c r="C31" i="6"/>
  <c r="G6" i="6"/>
  <c r="I4" i="6"/>
  <c r="D22" i="6" s="1"/>
  <c r="C25" i="6"/>
  <c r="D31" i="6" s="1"/>
  <c r="E5" i="6"/>
  <c r="E8" i="6"/>
  <c r="D6" i="7"/>
  <c r="D14" i="7"/>
  <c r="F19" i="7"/>
  <c r="F18" i="6"/>
  <c r="F21" i="6"/>
  <c r="F29" i="6"/>
  <c r="F15" i="7"/>
  <c r="F15" i="6"/>
  <c r="F17" i="6"/>
  <c r="F30" i="6"/>
  <c r="D32" i="6"/>
  <c r="F13" i="7"/>
  <c r="F16" i="6"/>
  <c r="G19" i="7"/>
  <c r="F16" i="7"/>
  <c r="F22" i="6"/>
  <c r="G21" i="7"/>
  <c r="F14" i="7"/>
  <c r="D54" i="5" l="1"/>
  <c r="D55" i="5" s="1"/>
  <c r="D18" i="6"/>
  <c r="D21" i="6"/>
  <c r="D30" i="6"/>
  <c r="D5" i="7"/>
  <c r="G4" i="7"/>
  <c r="F21" i="7" s="1"/>
  <c r="D16" i="7" s="1"/>
  <c r="D15" i="7" l="1"/>
  <c r="D13" i="7"/>
  <c r="C24" i="5"/>
  <c r="D17" i="6"/>
  <c r="D15" i="6"/>
  <c r="D4" i="5"/>
  <c r="C21" i="2"/>
  <c r="D8" i="1"/>
  <c r="D16" i="1" s="1"/>
  <c r="C22" i="2" l="1"/>
  <c r="C23" i="2"/>
  <c r="C14" i="2" s="1"/>
  <c r="C24" i="2" l="1"/>
</calcChain>
</file>

<file path=xl/sharedStrings.xml><?xml version="1.0" encoding="utf-8"?>
<sst xmlns="http://schemas.openxmlformats.org/spreadsheetml/2006/main" count="277" uniqueCount="180">
  <si>
    <r>
      <rPr>
        <sz val="11"/>
        <color theme="1"/>
        <rFont val="Calibri"/>
        <family val="2"/>
      </rPr>
      <t>μ &gt; H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</si>
  <si>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Calibri"/>
        <family val="2"/>
      </rPr>
      <t>μ ≠ H</t>
    </r>
    <r>
      <rPr>
        <vertAlign val="subscript"/>
        <sz val="11"/>
        <color theme="1"/>
        <rFont val="Calibri"/>
        <family val="2"/>
        <scheme val="minor"/>
      </rPr>
      <t>0</t>
    </r>
  </si>
  <si>
    <t>Conclusion:</t>
  </si>
  <si>
    <r>
      <rPr>
        <sz val="11"/>
        <color theme="1"/>
        <rFont val="Calibri"/>
        <family val="2"/>
      </rPr>
      <t>p &lt; H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</si>
  <si>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Calibri"/>
        <family val="2"/>
      </rPr>
      <t>p &gt; H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</si>
  <si>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Calibri"/>
        <family val="2"/>
      </rPr>
      <t>p ≠ H</t>
    </r>
    <r>
      <rPr>
        <vertAlign val="subscript"/>
        <sz val="11"/>
        <color theme="1"/>
        <rFont val="Calibri"/>
        <family val="2"/>
        <scheme val="minor"/>
      </rPr>
      <t>0</t>
    </r>
  </si>
  <si>
    <t>Sample 1</t>
  </si>
  <si>
    <t>Sample 2</t>
  </si>
  <si>
    <r>
      <rPr>
        <sz val="11"/>
        <color theme="1"/>
        <rFont val="Calibri"/>
        <family val="2"/>
      </rPr>
      <t>p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- p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&lt; H</t>
    </r>
    <r>
      <rPr>
        <vertAlign val="subscript"/>
        <sz val="11"/>
        <color theme="1"/>
        <rFont val="Calibri"/>
        <family val="2"/>
        <scheme val="minor"/>
      </rPr>
      <t>0</t>
    </r>
  </si>
  <si>
    <r>
      <t>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&gt; H</t>
    </r>
    <r>
      <rPr>
        <vertAlign val="subscript"/>
        <sz val="11"/>
        <color theme="1"/>
        <rFont val="Calibri"/>
        <family val="2"/>
        <scheme val="minor"/>
      </rPr>
      <t>0</t>
    </r>
  </si>
  <si>
    <r>
      <t>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≠ H</t>
    </r>
    <r>
      <rPr>
        <vertAlign val="subscript"/>
        <sz val="11"/>
        <color theme="1"/>
        <rFont val="Calibri"/>
        <family val="2"/>
        <scheme val="minor"/>
      </rPr>
      <t>0</t>
    </r>
  </si>
  <si>
    <r>
      <t>alpha (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):</t>
    </r>
  </si>
  <si>
    <r>
      <t>Proportion (p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):</t>
    </r>
  </si>
  <si>
    <r>
      <t>Sample size (n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):</t>
    </r>
  </si>
  <si>
    <r>
      <t>Proportion (p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</si>
  <si>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r>
      <t>Sample size (n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</si>
  <si>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t>pooled p:</t>
  </si>
  <si>
    <t>lower tail:</t>
  </si>
  <si>
    <t>upper tail:</t>
  </si>
  <si>
    <t>two tailed:</t>
  </si>
  <si>
    <r>
      <t>H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option:</t>
    </r>
  </si>
  <si>
    <t>z-statistic:</t>
  </si>
  <si>
    <t>HYPOTHESIS TEST SETTINGS</t>
  </si>
  <si>
    <t>HYPOTHESIS TEST RESULTS</t>
  </si>
  <si>
    <t xml:space="preserve"> INTERNAL CALCULATIONS</t>
  </si>
  <si>
    <t>Sample size (n):</t>
  </si>
  <si>
    <r>
      <t>SE of p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</t>
    </r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</si>
  <si>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*100:</t>
    </r>
  </si>
  <si>
    <t xml:space="preserve">           FORM CONTROLS</t>
  </si>
  <si>
    <r>
      <t>alpha (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):  </t>
    </r>
  </si>
  <si>
    <t>SE Mean: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</si>
  <si>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 known:</t>
    </r>
  </si>
  <si>
    <r>
      <t>(</t>
    </r>
    <r>
      <rPr>
        <sz val="11"/>
        <color theme="1"/>
        <rFont val="Calibri"/>
        <family val="2"/>
      </rPr>
      <t>σ is r</t>
    </r>
    <r>
      <rPr>
        <sz val="11"/>
        <color theme="1"/>
        <rFont val="Calibri"/>
        <family val="2"/>
        <scheme val="minor"/>
      </rPr>
      <t>arely known)</t>
    </r>
  </si>
  <si>
    <r>
      <t>Mean (</t>
    </r>
    <r>
      <rPr>
        <sz val="11"/>
        <color theme="1"/>
        <rFont val="Calibri"/>
        <family val="2"/>
      </rPr>
      <t>μ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)</t>
    </r>
    <r>
      <rPr>
        <sz val="11"/>
        <color theme="1"/>
        <rFont val="Calibri"/>
        <family val="2"/>
        <scheme val="minor"/>
      </rPr>
      <t>: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</si>
  <si>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difference:</t>
    </r>
  </si>
  <si>
    <r>
      <t>Mean (</t>
    </r>
    <r>
      <rPr>
        <sz val="11"/>
        <color theme="1"/>
        <rFont val="Calibri"/>
        <family val="2"/>
      </rPr>
      <t>μ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</t>
    </r>
    <r>
      <rPr>
        <sz val="11"/>
        <color theme="1"/>
        <rFont val="Calibri"/>
        <family val="2"/>
        <scheme val="minor"/>
      </rPr>
      <t>:</t>
    </r>
  </si>
  <si>
    <r>
      <t>(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and σ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r</t>
    </r>
    <r>
      <rPr>
        <sz val="11"/>
        <color theme="1"/>
        <rFont val="Calibri"/>
        <family val="2"/>
        <scheme val="minor"/>
      </rPr>
      <t>arely known)</t>
    </r>
  </si>
  <si>
    <t>%</t>
  </si>
  <si>
    <t>CONFIDENCE INTERVAL RESULTS</t>
  </si>
  <si>
    <t>Confidence Interval of a Sample Mean</t>
  </si>
  <si>
    <t>Confidence Interval of a Sample Proportion</t>
  </si>
  <si>
    <t>SE of Proportion:</t>
  </si>
  <si>
    <t>SE of Mean:</t>
  </si>
  <si>
    <t>Distribution used:</t>
  </si>
  <si>
    <t>One Sample Difference of Means Test</t>
  </si>
  <si>
    <t>One Sample Difference of Proportions Test</t>
  </si>
  <si>
    <t>Two Sample Difference of Means Test</t>
  </si>
  <si>
    <t>Two Sample Difference of Proportions Test</t>
  </si>
  <si>
    <t>Upper bound:</t>
  </si>
  <si>
    <t>Lower bound:</t>
  </si>
  <si>
    <t>Point estimate:</t>
  </si>
  <si>
    <t>WORKSHEET INPUTS</t>
  </si>
  <si>
    <t>Confidence Level:</t>
  </si>
  <si>
    <r>
      <t>|Z</t>
    </r>
    <r>
      <rPr>
        <vertAlign val="subscript"/>
        <sz val="11"/>
        <color theme="1"/>
        <rFont val="Calibri"/>
        <family val="2"/>
      </rPr>
      <t>α/2</t>
    </r>
    <r>
      <rPr>
        <sz val="11"/>
        <color theme="1"/>
        <rFont val="Calibri"/>
        <family val="2"/>
      </rPr>
      <t>|</t>
    </r>
  </si>
  <si>
    <t>N(0,1)</t>
  </si>
  <si>
    <t>alpha:</t>
  </si>
  <si>
    <t xml:space="preserve">Confidence Level: </t>
  </si>
  <si>
    <t>Pop St. Dev. (σ) known?</t>
  </si>
  <si>
    <t xml:space="preserve">      FORM CONTROL</t>
  </si>
  <si>
    <r>
      <rPr>
        <sz val="11"/>
        <color theme="0" tint="-0.34998626667073579"/>
        <rFont val="Calibri"/>
        <family val="2"/>
      </rPr>
      <t>option</t>
    </r>
    <r>
      <rPr>
        <sz val="11"/>
        <color theme="0" tint="-0.34998626667073579"/>
        <rFont val="Calibri"/>
        <family val="2"/>
        <scheme val="minor"/>
      </rPr>
      <t>:</t>
    </r>
  </si>
  <si>
    <t>MARGIN OF ERROR FUNCTIONS</t>
  </si>
  <si>
    <t>conf.norm:</t>
  </si>
  <si>
    <t>conf.t:</t>
  </si>
  <si>
    <r>
      <t xml:space="preserve">Margin of error (me): </t>
    </r>
    <r>
      <rPr>
        <sz val="11"/>
        <color theme="1"/>
        <rFont val="Calibri"/>
        <family val="2"/>
      </rPr>
      <t>±</t>
    </r>
  </si>
  <si>
    <t>Sample mean (mean):</t>
  </si>
  <si>
    <r>
      <t>Sample proportion (p</t>
    </r>
    <r>
      <rPr>
        <sz val="11"/>
        <color theme="1"/>
        <rFont val="Calibri"/>
        <family val="2"/>
      </rPr>
      <t>)</t>
    </r>
    <r>
      <rPr>
        <sz val="11"/>
        <color theme="1"/>
        <rFont val="Calibri"/>
        <family val="2"/>
        <scheme val="minor"/>
      </rPr>
      <t>:</t>
    </r>
  </si>
  <si>
    <r>
      <t>μ &lt; H</t>
    </r>
    <r>
      <rPr>
        <vertAlign val="subscript"/>
        <sz val="11"/>
        <color theme="1"/>
        <rFont val="Calibri"/>
        <family val="2"/>
        <scheme val="minor"/>
      </rPr>
      <t>0</t>
    </r>
  </si>
  <si>
    <t>Research hypothesis:</t>
  </si>
  <si>
    <t>One-Sample Mean Test Worksheet</t>
  </si>
  <si>
    <r>
      <t>Sample mean (mean</t>
    </r>
    <r>
      <rPr>
        <sz val="11"/>
        <color theme="1"/>
        <rFont val="Calibri"/>
        <family val="2"/>
      </rPr>
      <t>)</t>
    </r>
    <r>
      <rPr>
        <sz val="11"/>
        <color theme="1"/>
        <rFont val="Calibri"/>
        <family val="2"/>
        <scheme val="minor"/>
      </rPr>
      <t>:</t>
    </r>
  </si>
  <si>
    <t>Test statistic:</t>
  </si>
  <si>
    <t>Degrees of freedom (df):</t>
  </si>
  <si>
    <t>Relevant distribution:</t>
  </si>
  <si>
    <t>Standard normal values (Z)</t>
  </si>
  <si>
    <t>p-value using t-distribution:</t>
  </si>
  <si>
    <t>p-value using Z score:</t>
  </si>
  <si>
    <r>
      <t>H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type:</t>
    </r>
  </si>
  <si>
    <r>
      <rPr>
        <sz val="11"/>
        <color theme="1"/>
        <rFont val="Calibri"/>
        <family val="2"/>
      </rPr>
      <t>Pop. St. Dev. (σ)</t>
    </r>
    <r>
      <rPr>
        <sz val="11"/>
        <color theme="1"/>
        <rFont val="Calibri"/>
        <family val="2"/>
        <scheme val="minor"/>
      </rPr>
      <t xml:space="preserve">  known:</t>
    </r>
  </si>
  <si>
    <t>P-value: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</si>
  <si>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proportion: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</si>
  <si>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mean value:</t>
    </r>
  </si>
  <si>
    <t>Sample proportion (p):</t>
  </si>
  <si>
    <t xml:space="preserve">           INTERNAL CALCULATIONS</t>
  </si>
  <si>
    <t>lower tail (z_lt):</t>
  </si>
  <si>
    <t>upper tail (z_ut):</t>
  </si>
  <si>
    <t>two tailed (z_2t):</t>
  </si>
  <si>
    <t>SE of pooled p:</t>
  </si>
  <si>
    <r>
      <t>(p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- (H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diff):</t>
    </r>
  </si>
  <si>
    <t xml:space="preserve">      INTERNAL CALCULATIONS</t>
  </si>
  <si>
    <t xml:space="preserve">    FORM CONTROLS</t>
  </si>
  <si>
    <t xml:space="preserve">      WORKSHEET INPUTS</t>
  </si>
  <si>
    <t>One-Sample Difference of Proportions Test Worksheet</t>
  </si>
  <si>
    <t xml:space="preserve">                     FORM CONTROL</t>
  </si>
  <si>
    <r>
      <t>SE of 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</si>
  <si>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r>
      <t>SE of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</t>
    </r>
  </si>
  <si>
    <r>
      <t>SE of (P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</si>
  <si>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r>
      <t>Difference, P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</t>
    </r>
  </si>
  <si>
    <t>Confidence Interval of the Difference of Two Sample Proportions</t>
  </si>
  <si>
    <t>Two Sample Difference of Proportions Test Worksheet</t>
  </si>
  <si>
    <r>
      <t>Pop. St. Dev. (σ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and σ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known?</t>
    </r>
  </si>
  <si>
    <t>assumption about σ:</t>
  </si>
  <si>
    <r>
      <rPr>
        <sz val="11"/>
        <color theme="1"/>
        <rFont val="Calibri"/>
        <family val="2"/>
      </rPr>
      <t>(μ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- μ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 &lt; H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</si>
  <si>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Calibri"/>
        <family val="2"/>
      </rPr>
      <t>(μ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- μ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 &gt; H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</si>
  <si>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Calibri"/>
        <family val="2"/>
      </rPr>
      <t>(μ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- μ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 ≠ H</t>
    </r>
    <r>
      <rPr>
        <vertAlign val="subscript"/>
        <sz val="11"/>
        <color theme="1"/>
        <rFont val="Calibri"/>
        <family val="2"/>
        <scheme val="minor"/>
      </rPr>
      <t>0</t>
    </r>
  </si>
  <si>
    <r>
      <t>Assume (sd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and sd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are equal?</t>
    </r>
  </si>
  <si>
    <r>
      <t>Estimate sd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and sd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?</t>
    </r>
  </si>
  <si>
    <t>(calculate pooled sd)</t>
  </si>
  <si>
    <r>
      <t>(μ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μ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-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</t>
    </r>
  </si>
  <si>
    <t>hypothesis type:</t>
  </si>
  <si>
    <t>pooled sample variance:</t>
  </si>
  <si>
    <r>
      <t>SE of diff, if sd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 sd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</t>
    </r>
  </si>
  <si>
    <r>
      <t>SE of diff, if sd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>≠ sd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>:</t>
    </r>
  </si>
  <si>
    <t>Degrees of freedom, if sd1 ≠ sd2:</t>
  </si>
  <si>
    <t>Degrees of freedom, if sd1 = sd2:</t>
  </si>
  <si>
    <t>N(0,1) lower tail:</t>
  </si>
  <si>
    <t>N(0,1) upper tail:</t>
  </si>
  <si>
    <t>n(0,1) two tailed:</t>
  </si>
  <si>
    <t>z-statistic value:</t>
  </si>
  <si>
    <t>SE of diff using pop st dev:</t>
  </si>
  <si>
    <t>t-statistic value:</t>
  </si>
  <si>
    <t>Assuming equal sample st. dev.</t>
  </si>
  <si>
    <t>Assuming known pop. st. dev.</t>
  </si>
  <si>
    <t>Making fewest assumptions about st. dev.</t>
  </si>
  <si>
    <t>(make fewest assumptions)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</si>
  <si>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-value:</t>
    </r>
  </si>
  <si>
    <t xml:space="preserve">Two-Sample Difference of Means Test Worksheet    </t>
  </si>
  <si>
    <t>SE of mean1:</t>
  </si>
  <si>
    <t>SE of mean2:</t>
  </si>
  <si>
    <t>RESIDUAL OUTPUT</t>
  </si>
  <si>
    <t>Observation</t>
  </si>
  <si>
    <t>Residuals</t>
  </si>
  <si>
    <t>exp.freq</t>
  </si>
  <si>
    <t>-∞</t>
  </si>
  <si>
    <t>∞</t>
  </si>
  <si>
    <t>sample n:</t>
  </si>
  <si>
    <t>obs.freq</t>
  </si>
  <si>
    <t>Table of Observed Frequencies</t>
  </si>
  <si>
    <t>Table of Expected Frequencies</t>
  </si>
  <si>
    <t>mean:</t>
  </si>
  <si>
    <t>skewness:</t>
  </si>
  <si>
    <t>kurtosis:</t>
  </si>
  <si>
    <t>chart labels</t>
  </si>
  <si>
    <t>Chi-Square Goodness of Fit Test</t>
  </si>
  <si>
    <t>critical value:</t>
  </si>
  <si>
    <t>Chi-square stat:</t>
  </si>
  <si>
    <t>df: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</si>
  <si>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</si>
  <si>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Null hypothesis:</t>
  </si>
  <si>
    <t>Residuals normally distibuted.</t>
  </si>
  <si>
    <t xml:space="preserve">Jarque-Barre Test </t>
  </si>
  <si>
    <t>JB test stat:</t>
  </si>
  <si>
    <t>Descriptive Statistics</t>
  </si>
  <si>
    <t>Hypothesis Test Settings</t>
  </si>
  <si>
    <t>from (Z)</t>
  </si>
  <si>
    <t>to (Z)</t>
  </si>
  <si>
    <t>st. dev:</t>
  </si>
  <si>
    <t>Predicted pres_party_share</t>
  </si>
  <si>
    <t>Confidence Interval of the Difference of Two Sample Means</t>
  </si>
  <si>
    <r>
      <t>Mean (mean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):</t>
    </r>
  </si>
  <si>
    <r>
      <t>Mean (mean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</si>
  <si>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r>
      <t>Difference, mean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mean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</t>
    </r>
  </si>
  <si>
    <r>
      <t>SE of mean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</si>
  <si>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r>
      <t>SE of mean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</t>
    </r>
  </si>
  <si>
    <r>
      <t>SE of (mean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mean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</si>
  <si>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r>
      <t>Are Pop St. Devs. (σ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and σ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known?</t>
    </r>
  </si>
  <si>
    <r>
      <t>(σ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and σ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are</t>
    </r>
    <r>
      <rPr>
        <sz val="11"/>
        <color theme="1"/>
        <rFont val="Calibri"/>
        <family val="2"/>
      </rPr>
      <t xml:space="preserve"> r</t>
    </r>
    <r>
      <rPr>
        <sz val="11"/>
        <color theme="1"/>
        <rFont val="Calibri"/>
        <family val="2"/>
        <scheme val="minor"/>
      </rPr>
      <t>arely known)</t>
    </r>
  </si>
  <si>
    <r>
      <rPr>
        <sz val="11"/>
        <color theme="1"/>
        <rFont val="Calibri"/>
        <family val="2"/>
      </rPr>
      <t>Pop. St. Devs. (σ</t>
    </r>
    <r>
      <rPr>
        <vertAlign val="subscript"/>
        <sz val="11"/>
        <color theme="1"/>
        <rFont val="Calibri"/>
        <family val="2"/>
      </rPr>
      <t>1,</t>
    </r>
    <r>
      <rPr>
        <sz val="11"/>
        <color theme="1"/>
        <rFont val="Calibri"/>
        <family val="2"/>
      </rPr>
      <t xml:space="preserve"> σ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</t>
    </r>
    <r>
      <rPr>
        <sz val="11"/>
        <color theme="1"/>
        <rFont val="Calibri"/>
        <family val="2"/>
        <scheme val="minor"/>
      </rPr>
      <t xml:space="preserve"> known:</t>
    </r>
  </si>
  <si>
    <t>Critical Value (for α/2):</t>
  </si>
  <si>
    <t>df for T dist.:</t>
  </si>
  <si>
    <t>Testing the Normality of Residuals</t>
  </si>
  <si>
    <t>Construct Confidence Intervals for:</t>
  </si>
  <si>
    <t>A Sample Mean</t>
  </si>
  <si>
    <t>A Sample Proportion</t>
  </si>
  <si>
    <t>The Difference of Two Sample Means</t>
  </si>
  <si>
    <t>The Difference of Two Sample Proportions</t>
  </si>
  <si>
    <t>Conduct Null Hypothesis Significance Tests:</t>
  </si>
  <si>
    <t>Analyze Regression Residuals:</t>
  </si>
  <si>
    <t>Test the Normality of Residuals</t>
  </si>
  <si>
    <t>The Significance Testing Workbook:</t>
  </si>
  <si>
    <t>Excel Worksheets for Making Statistical Inferences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</si>
</sst>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sz val="8"/>
      <color rgb="FF000000"/>
      <name val="Segoe UI"/>
      <family val="2"/>
    </font>
    <font>
      <sz val="13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i/>
      <sz val="10"/>
      <color rgb="FF7F7F7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1" fillId="4" borderId="2" applyNumberFormat="0" applyFont="0" applyAlignment="0" applyProtection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4" fillId="0" borderId="0" xfId="3" applyBorder="1"/>
    <xf numFmtId="0" fontId="5" fillId="6" borderId="3" xfId="0" applyFont="1" applyFill="1" applyBorder="1" applyAlignment="1">
      <alignment horizontal="left"/>
    </xf>
    <xf numFmtId="0" fontId="0" fillId="6" borderId="5" xfId="0" applyFill="1" applyBorder="1"/>
    <xf numFmtId="0" fontId="0" fillId="7" borderId="4" xfId="0" applyFill="1" applyBorder="1"/>
    <xf numFmtId="0" fontId="5" fillId="7" borderId="4" xfId="0" applyFont="1" applyFill="1" applyBorder="1"/>
    <xf numFmtId="0" fontId="0" fillId="7" borderId="5" xfId="0" applyFill="1" applyBorder="1"/>
    <xf numFmtId="0" fontId="0" fillId="8" borderId="6" xfId="0" applyFill="1" applyBorder="1"/>
    <xf numFmtId="0" fontId="0" fillId="8" borderId="0" xfId="0" applyFill="1" applyBorder="1"/>
    <xf numFmtId="0" fontId="0" fillId="8" borderId="7" xfId="0" applyFill="1" applyBorder="1"/>
    <xf numFmtId="0" fontId="0" fillId="8" borderId="0" xfId="0" applyFill="1" applyBorder="1" applyAlignment="1">
      <alignment horizontal="right"/>
    </xf>
    <xf numFmtId="0" fontId="0" fillId="8" borderId="8" xfId="0" applyFill="1" applyBorder="1"/>
    <xf numFmtId="0" fontId="4" fillId="8" borderId="9" xfId="3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6" xfId="0" applyFont="1" applyFill="1" applyBorder="1" applyAlignment="1">
      <alignment horizontal="right"/>
    </xf>
    <xf numFmtId="0" fontId="0" fillId="8" borderId="6" xfId="0" applyFill="1" applyBorder="1" applyAlignment="1">
      <alignment horizontal="right"/>
    </xf>
    <xf numFmtId="0" fontId="0" fillId="8" borderId="8" xfId="0" applyFill="1" applyBorder="1" applyAlignment="1">
      <alignment horizontal="right"/>
    </xf>
    <xf numFmtId="0" fontId="0" fillId="8" borderId="6" xfId="0" applyFill="1" applyBorder="1" applyAlignment="1">
      <alignment horizontal="left"/>
    </xf>
    <xf numFmtId="0" fontId="0" fillId="8" borderId="0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0" fillId="8" borderId="0" xfId="0" applyFill="1"/>
    <xf numFmtId="0" fontId="0" fillId="8" borderId="9" xfId="0" applyFill="1" applyBorder="1" applyAlignment="1">
      <alignment horizontal="center"/>
    </xf>
    <xf numFmtId="0" fontId="0" fillId="9" borderId="5" xfId="0" applyFill="1" applyBorder="1"/>
    <xf numFmtId="0" fontId="4" fillId="8" borderId="0" xfId="0" applyFont="1" applyFill="1" applyBorder="1"/>
    <xf numFmtId="0" fontId="0" fillId="8" borderId="9" xfId="0" applyFill="1" applyBorder="1" applyAlignment="1">
      <alignment horizontal="right"/>
    </xf>
    <xf numFmtId="0" fontId="0" fillId="8" borderId="10" xfId="0" applyFill="1" applyBorder="1" applyAlignment="1">
      <alignment horizontal="center"/>
    </xf>
    <xf numFmtId="0" fontId="5" fillId="9" borderId="3" xfId="0" applyFont="1" applyFill="1" applyBorder="1" applyAlignment="1">
      <alignment horizontal="left"/>
    </xf>
    <xf numFmtId="0" fontId="0" fillId="10" borderId="3" xfId="0" applyFill="1" applyBorder="1"/>
    <xf numFmtId="0" fontId="5" fillId="10" borderId="4" xfId="0" applyFont="1" applyFill="1" applyBorder="1"/>
    <xf numFmtId="0" fontId="0" fillId="10" borderId="4" xfId="0" applyFill="1" applyBorder="1"/>
    <xf numFmtId="0" fontId="0" fillId="10" borderId="5" xfId="0" applyFill="1" applyBorder="1"/>
    <xf numFmtId="0" fontId="5" fillId="11" borderId="3" xfId="0" applyFont="1" applyFill="1" applyBorder="1" applyAlignment="1">
      <alignment horizontal="right"/>
    </xf>
    <xf numFmtId="164" fontId="3" fillId="11" borderId="5" xfId="2" applyNumberFormat="1" applyFill="1" applyBorder="1"/>
    <xf numFmtId="0" fontId="0" fillId="12" borderId="3" xfId="0" applyFill="1" applyBorder="1"/>
    <xf numFmtId="0" fontId="0" fillId="12" borderId="5" xfId="0" applyFill="1" applyBorder="1"/>
    <xf numFmtId="0" fontId="0" fillId="6" borderId="3" xfId="0" applyFill="1" applyBorder="1"/>
    <xf numFmtId="1" fontId="5" fillId="12" borderId="4" xfId="0" applyNumberFormat="1" applyFont="1" applyFill="1" applyBorder="1" applyAlignment="1">
      <alignment horizontal="left"/>
    </xf>
    <xf numFmtId="1" fontId="5" fillId="12" borderId="4" xfId="0" applyNumberFormat="1" applyFont="1" applyFill="1" applyBorder="1" applyAlignment="1">
      <alignment horizontal="center"/>
    </xf>
    <xf numFmtId="0" fontId="0" fillId="12" borderId="4" xfId="0" applyFill="1" applyBorder="1"/>
    <xf numFmtId="0" fontId="5" fillId="7" borderId="3" xfId="0" applyFont="1" applyFill="1" applyBorder="1"/>
    <xf numFmtId="0" fontId="12" fillId="9" borderId="5" xfId="0" applyFont="1" applyFill="1" applyBorder="1"/>
    <xf numFmtId="0" fontId="0" fillId="8" borderId="9" xfId="0" applyFill="1" applyBorder="1" applyAlignment="1">
      <alignment horizontal="left"/>
    </xf>
    <xf numFmtId="0" fontId="0" fillId="8" borderId="0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5" fillId="8" borderId="0" xfId="0" applyFont="1" applyFill="1" applyBorder="1"/>
    <xf numFmtId="0" fontId="0" fillId="8" borderId="0" xfId="0" applyFont="1" applyFill="1" applyBorder="1" applyAlignment="1">
      <alignment horizontal="right"/>
    </xf>
    <xf numFmtId="0" fontId="0" fillId="8" borderId="0" xfId="0" applyFill="1" applyBorder="1" applyAlignment="1">
      <alignment horizontal="left"/>
    </xf>
    <xf numFmtId="2" fontId="0" fillId="8" borderId="7" xfId="0" applyNumberFormat="1" applyFill="1" applyBorder="1" applyAlignment="1">
      <alignment horizontal="center"/>
    </xf>
    <xf numFmtId="2" fontId="10" fillId="8" borderId="0" xfId="0" applyNumberFormat="1" applyFon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8" borderId="6" xfId="0" applyFill="1" applyBorder="1" applyAlignment="1">
      <alignment horizontal="center"/>
    </xf>
    <xf numFmtId="2" fontId="14" fillId="8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4" fillId="8" borderId="0" xfId="3" applyFill="1" applyBorder="1"/>
    <xf numFmtId="0" fontId="5" fillId="6" borderId="4" xfId="0" applyFont="1" applyFill="1" applyBorder="1" applyAlignment="1">
      <alignment horizontal="center"/>
    </xf>
    <xf numFmtId="164" fontId="3" fillId="0" borderId="0" xfId="2" applyNumberFormat="1" applyFill="1" applyBorder="1"/>
    <xf numFmtId="164" fontId="0" fillId="8" borderId="0" xfId="0" applyNumberFormat="1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0" fontId="17" fillId="8" borderId="8" xfId="0" applyFont="1" applyFill="1" applyBorder="1"/>
    <xf numFmtId="0" fontId="17" fillId="8" borderId="0" xfId="0" applyFont="1" applyFill="1" applyBorder="1"/>
    <xf numFmtId="0" fontId="16" fillId="8" borderId="0" xfId="0" applyFont="1" applyFill="1" applyBorder="1"/>
    <xf numFmtId="0" fontId="17" fillId="8" borderId="7" xfId="0" applyFont="1" applyFill="1" applyBorder="1"/>
    <xf numFmtId="0" fontId="17" fillId="8" borderId="6" xfId="0" applyFont="1" applyFill="1" applyBorder="1"/>
    <xf numFmtId="164" fontId="0" fillId="8" borderId="9" xfId="0" applyNumberFormat="1" applyFill="1" applyBorder="1" applyAlignment="1">
      <alignment horizontal="center"/>
    </xf>
    <xf numFmtId="0" fontId="2" fillId="2" borderId="1" xfId="1" applyAlignment="1">
      <alignment horizontal="center"/>
    </xf>
    <xf numFmtId="1" fontId="2" fillId="2" borderId="1" xfId="1" applyNumberFormat="1" applyAlignment="1">
      <alignment horizontal="center"/>
    </xf>
    <xf numFmtId="164" fontId="3" fillId="3" borderId="11" xfId="2" applyNumberFormat="1" applyBorder="1" applyAlignment="1">
      <alignment horizontal="center"/>
    </xf>
    <xf numFmtId="164" fontId="3" fillId="3" borderId="12" xfId="2" applyNumberFormat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17" fillId="0" borderId="0" xfId="0" applyFont="1" applyBorder="1"/>
    <xf numFmtId="0" fontId="18" fillId="8" borderId="0" xfId="5" applyFill="1" applyBorder="1"/>
    <xf numFmtId="0" fontId="18" fillId="8" borderId="9" xfId="5" applyFill="1" applyBorder="1"/>
    <xf numFmtId="0" fontId="18" fillId="0" borderId="0" xfId="5"/>
    <xf numFmtId="2" fontId="2" fillId="2" borderId="1" xfId="1" applyNumberFormat="1" applyAlignment="1">
      <alignment horizontal="center"/>
    </xf>
    <xf numFmtId="2" fontId="0" fillId="0" borderId="0" xfId="4" applyNumberFormat="1" applyFont="1" applyFill="1" applyBorder="1"/>
    <xf numFmtId="0" fontId="0" fillId="0" borderId="6" xfId="0" applyBorder="1"/>
    <xf numFmtId="0" fontId="0" fillId="0" borderId="8" xfId="0" applyBorder="1"/>
    <xf numFmtId="1" fontId="0" fillId="8" borderId="0" xfId="0" applyNumberFormat="1" applyFill="1" applyBorder="1" applyAlignment="1">
      <alignment horizontal="center"/>
    </xf>
    <xf numFmtId="1" fontId="17" fillId="8" borderId="0" xfId="0" applyNumberFormat="1" applyFont="1" applyFill="1" applyBorder="1" applyAlignment="1">
      <alignment horizontal="center"/>
    </xf>
    <xf numFmtId="1" fontId="18" fillId="8" borderId="0" xfId="5" applyNumberForma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19" fillId="8" borderId="8" xfId="0" applyFont="1" applyFill="1" applyBorder="1" applyAlignment="1">
      <alignment horizontal="right"/>
    </xf>
    <xf numFmtId="0" fontId="19" fillId="8" borderId="10" xfId="0" applyFont="1" applyFill="1" applyBorder="1" applyAlignment="1">
      <alignment horizontal="center"/>
    </xf>
    <xf numFmtId="1" fontId="18" fillId="8" borderId="9" xfId="5" applyNumberFormat="1" applyFill="1" applyBorder="1" applyAlignment="1">
      <alignment horizontal="left"/>
    </xf>
    <xf numFmtId="2" fontId="0" fillId="0" borderId="0" xfId="0" applyNumberFormat="1" applyAlignment="1">
      <alignment horizontal="center"/>
    </xf>
    <xf numFmtId="2" fontId="0" fillId="6" borderId="5" xfId="0" applyNumberForma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13" borderId="3" xfId="0" applyFill="1" applyBorder="1"/>
    <xf numFmtId="0" fontId="5" fillId="13" borderId="4" xfId="0" applyFont="1" applyFill="1" applyBorder="1" applyAlignment="1">
      <alignment horizontal="center"/>
    </xf>
    <xf numFmtId="0" fontId="0" fillId="13" borderId="5" xfId="0" applyFill="1" applyBorder="1"/>
    <xf numFmtId="0" fontId="5" fillId="14" borderId="3" xfId="0" applyFont="1" applyFill="1" applyBorder="1" applyAlignment="1">
      <alignment horizontal="left"/>
    </xf>
    <xf numFmtId="0" fontId="0" fillId="14" borderId="5" xfId="0" applyFill="1" applyBorder="1"/>
    <xf numFmtId="2" fontId="0" fillId="8" borderId="7" xfId="0" applyNumberFormat="1" applyFill="1" applyBorder="1" applyAlignment="1">
      <alignment horizontal="left"/>
    </xf>
    <xf numFmtId="164" fontId="3" fillId="3" borderId="1" xfId="2" applyNumberFormat="1" applyAlignment="1">
      <alignment horizontal="center"/>
    </xf>
    <xf numFmtId="1" fontId="21" fillId="8" borderId="0" xfId="5" applyNumberFormat="1" applyFont="1" applyFill="1" applyBorder="1" applyAlignment="1">
      <alignment horizontal="left"/>
    </xf>
    <xf numFmtId="165" fontId="5" fillId="8" borderId="0" xfId="0" applyNumberFormat="1" applyFont="1" applyFill="1" applyBorder="1" applyAlignment="1">
      <alignment horizontal="center"/>
    </xf>
    <xf numFmtId="164" fontId="2" fillId="2" borderId="1" xfId="1" applyNumberFormat="1" applyAlignment="1">
      <alignment horizontal="center"/>
    </xf>
    <xf numFmtId="0" fontId="5" fillId="9" borderId="3" xfId="0" applyFont="1" applyFill="1" applyBorder="1" applyAlignment="1">
      <alignment horizontal="right"/>
    </xf>
    <xf numFmtId="0" fontId="22" fillId="5" borderId="3" xfId="0" applyFont="1" applyFill="1" applyBorder="1"/>
    <xf numFmtId="1" fontId="23" fillId="5" borderId="4" xfId="0" applyNumberFormat="1" applyFont="1" applyFill="1" applyBorder="1" applyAlignment="1">
      <alignment horizontal="center"/>
    </xf>
    <xf numFmtId="0" fontId="22" fillId="5" borderId="4" xfId="0" applyFont="1" applyFill="1" applyBorder="1"/>
    <xf numFmtId="0" fontId="0" fillId="15" borderId="3" xfId="0" applyFill="1" applyBorder="1"/>
    <xf numFmtId="0" fontId="5" fillId="15" borderId="4" xfId="0" applyFont="1" applyFill="1" applyBorder="1" applyAlignment="1">
      <alignment horizontal="center"/>
    </xf>
    <xf numFmtId="0" fontId="0" fillId="15" borderId="4" xfId="0" applyFill="1" applyBorder="1"/>
    <xf numFmtId="0" fontId="5" fillId="6" borderId="3" xfId="0" applyFont="1" applyFill="1" applyBorder="1" applyAlignment="1">
      <alignment horizontal="right"/>
    </xf>
    <xf numFmtId="0" fontId="5" fillId="8" borderId="3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3" fillId="3" borderId="11" xfId="2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0" fontId="0" fillId="15" borderId="5" xfId="0" applyFill="1" applyBorder="1"/>
    <xf numFmtId="0" fontId="22" fillId="5" borderId="5" xfId="0" applyFont="1" applyFill="1" applyBorder="1"/>
    <xf numFmtId="0" fontId="0" fillId="0" borderId="0" xfId="0" applyFill="1"/>
    <xf numFmtId="0" fontId="18" fillId="0" borderId="0" xfId="5" applyFill="1"/>
    <xf numFmtId="0" fontId="10" fillId="8" borderId="9" xfId="0" applyFont="1" applyFill="1" applyBorder="1"/>
    <xf numFmtId="1" fontId="5" fillId="16" borderId="3" xfId="0" applyNumberFormat="1" applyFont="1" applyFill="1" applyBorder="1" applyAlignment="1">
      <alignment horizontal="left"/>
    </xf>
    <xf numFmtId="0" fontId="0" fillId="16" borderId="5" xfId="0" applyFill="1" applyBorder="1"/>
    <xf numFmtId="1" fontId="5" fillId="16" borderId="4" xfId="0" applyNumberFormat="1" applyFont="1" applyFill="1" applyBorder="1" applyAlignment="1">
      <alignment horizontal="center"/>
    </xf>
    <xf numFmtId="0" fontId="0" fillId="16" borderId="4" xfId="0" applyFill="1" applyBorder="1"/>
    <xf numFmtId="164" fontId="5" fillId="8" borderId="0" xfId="0" applyNumberFormat="1" applyFont="1" applyFill="1" applyBorder="1" applyAlignment="1">
      <alignment horizontal="center"/>
    </xf>
    <xf numFmtId="0" fontId="0" fillId="0" borderId="9" xfId="0" applyFill="1" applyBorder="1"/>
    <xf numFmtId="0" fontId="0" fillId="6" borderId="7" xfId="0" applyFill="1" applyBorder="1"/>
    <xf numFmtId="0" fontId="4" fillId="8" borderId="9" xfId="0" applyFont="1" applyFill="1" applyBorder="1"/>
    <xf numFmtId="0" fontId="11" fillId="8" borderId="0" xfId="0" applyFont="1" applyFill="1" applyBorder="1" applyAlignment="1">
      <alignment horizontal="right"/>
    </xf>
    <xf numFmtId="0" fontId="11" fillId="8" borderId="6" xfId="0" applyFont="1" applyFill="1" applyBorder="1" applyAlignment="1">
      <alignment horizontal="right"/>
    </xf>
    <xf numFmtId="0" fontId="0" fillId="0" borderId="7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0" fillId="7" borderId="3" xfId="0" applyFill="1" applyBorder="1"/>
    <xf numFmtId="164" fontId="0" fillId="0" borderId="7" xfId="0" applyNumberFormat="1" applyBorder="1" applyAlignment="1">
      <alignment horizontal="center"/>
    </xf>
    <xf numFmtId="0" fontId="0" fillId="17" borderId="3" xfId="0" applyFont="1" applyFill="1" applyBorder="1"/>
    <xf numFmtId="1" fontId="5" fillId="17" borderId="4" xfId="0" applyNumberFormat="1" applyFont="1" applyFill="1" applyBorder="1" applyAlignment="1">
      <alignment horizontal="center"/>
    </xf>
    <xf numFmtId="0" fontId="0" fillId="17" borderId="4" xfId="0" applyFont="1" applyFill="1" applyBorder="1"/>
    <xf numFmtId="0" fontId="0" fillId="17" borderId="5" xfId="0" applyFont="1" applyFill="1" applyBorder="1"/>
    <xf numFmtId="0" fontId="5" fillId="12" borderId="4" xfId="0" applyFont="1" applyFill="1" applyBorder="1"/>
    <xf numFmtId="0" fontId="5" fillId="12" borderId="4" xfId="0" applyFont="1" applyFill="1" applyBorder="1" applyAlignment="1">
      <alignment horizontal="center"/>
    </xf>
    <xf numFmtId="0" fontId="0" fillId="8" borderId="6" xfId="0" applyFont="1" applyFill="1" applyBorder="1" applyAlignment="1">
      <alignment horizontal="center"/>
    </xf>
    <xf numFmtId="1" fontId="3" fillId="3" borderId="1" xfId="2" applyNumberFormat="1" applyAlignment="1">
      <alignment horizontal="center"/>
    </xf>
    <xf numFmtId="0" fontId="24" fillId="8" borderId="0" xfId="0" applyFont="1" applyFill="1" applyBorder="1" applyAlignment="1">
      <alignment horizontal="right"/>
    </xf>
    <xf numFmtId="0" fontId="24" fillId="8" borderId="6" xfId="0" applyFont="1" applyFill="1" applyBorder="1" applyAlignment="1">
      <alignment horizontal="right"/>
    </xf>
    <xf numFmtId="164" fontId="18" fillId="0" borderId="0" xfId="5" applyNumberFormat="1"/>
    <xf numFmtId="0" fontId="5" fillId="8" borderId="6" xfId="0" applyFont="1" applyFill="1" applyBorder="1" applyAlignment="1">
      <alignment horizontal="left"/>
    </xf>
    <xf numFmtId="0" fontId="3" fillId="3" borderId="1" xfId="2" applyAlignment="1">
      <alignment horizontal="center"/>
    </xf>
    <xf numFmtId="0" fontId="11" fillId="8" borderId="7" xfId="0" applyFont="1" applyFill="1" applyBorder="1" applyAlignment="1">
      <alignment horizontal="center"/>
    </xf>
    <xf numFmtId="0" fontId="21" fillId="0" borderId="4" xfId="5" applyFont="1" applyFill="1" applyBorder="1"/>
    <xf numFmtId="0" fontId="21" fillId="0" borderId="0" xfId="5" applyFont="1" applyFill="1"/>
    <xf numFmtId="0" fontId="21" fillId="8" borderId="0" xfId="5" applyFont="1" applyFill="1" applyBorder="1"/>
    <xf numFmtId="0" fontId="21" fillId="0" borderId="0" xfId="5" applyFont="1" applyFill="1" applyBorder="1"/>
    <xf numFmtId="0" fontId="21" fillId="0" borderId="0" xfId="5" applyFont="1" applyFill="1" applyBorder="1" applyAlignment="1">
      <alignment horizontal="right"/>
    </xf>
    <xf numFmtId="0" fontId="21" fillId="0" borderId="0" xfId="5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49" fontId="3" fillId="3" borderId="1" xfId="2" applyNumberFormat="1" applyAlignment="1">
      <alignment horizontal="center"/>
    </xf>
    <xf numFmtId="0" fontId="26" fillId="0" borderId="0" xfId="5" applyFont="1" applyAlignment="1">
      <alignment horizontal="center"/>
    </xf>
    <xf numFmtId="0" fontId="0" fillId="0" borderId="16" xfId="0" applyBorder="1" applyAlignment="1">
      <alignment horizontal="center"/>
    </xf>
    <xf numFmtId="0" fontId="10" fillId="0" borderId="16" xfId="0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6" xfId="0" applyBorder="1"/>
    <xf numFmtId="0" fontId="10" fillId="8" borderId="13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2" fontId="0" fillId="8" borderId="0" xfId="0" applyNumberFormat="1" applyFill="1" applyAlignment="1">
      <alignment horizontal="center"/>
    </xf>
    <xf numFmtId="0" fontId="0" fillId="8" borderId="14" xfId="0" applyFill="1" applyBorder="1" applyAlignment="1">
      <alignment horizontal="center"/>
    </xf>
    <xf numFmtId="2" fontId="0" fillId="8" borderId="14" xfId="0" applyNumberForma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8" borderId="0" xfId="0" applyFont="1" applyFill="1" applyAlignment="1">
      <alignment horizontal="center"/>
    </xf>
    <xf numFmtId="164" fontId="0" fillId="8" borderId="0" xfId="0" applyNumberFormat="1" applyFill="1"/>
    <xf numFmtId="0" fontId="17" fillId="18" borderId="3" xfId="0" applyFont="1" applyFill="1" applyBorder="1"/>
    <xf numFmtId="0" fontId="16" fillId="18" borderId="4" xfId="0" applyFont="1" applyFill="1" applyBorder="1" applyAlignment="1">
      <alignment horizontal="center"/>
    </xf>
    <xf numFmtId="0" fontId="17" fillId="18" borderId="4" xfId="0" applyFont="1" applyFill="1" applyBorder="1"/>
    <xf numFmtId="0" fontId="17" fillId="18" borderId="5" xfId="0" applyFont="1" applyFill="1" applyBorder="1"/>
    <xf numFmtId="164" fontId="3" fillId="3" borderId="18" xfId="2" applyNumberFormat="1" applyBorder="1" applyAlignment="1">
      <alignment horizontal="center"/>
    </xf>
    <xf numFmtId="164" fontId="3" fillId="3" borderId="19" xfId="2" applyNumberFormat="1" applyBorder="1" applyAlignment="1">
      <alignment horizontal="center"/>
    </xf>
    <xf numFmtId="164" fontId="0" fillId="8" borderId="17" xfId="0" applyNumberFormat="1" applyFill="1" applyBorder="1" applyAlignment="1">
      <alignment horizontal="center"/>
    </xf>
    <xf numFmtId="0" fontId="23" fillId="5" borderId="3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17" fillId="19" borderId="3" xfId="0" applyFont="1" applyFill="1" applyBorder="1"/>
    <xf numFmtId="0" fontId="16" fillId="19" borderId="4" xfId="0" applyFont="1" applyFill="1" applyBorder="1" applyAlignment="1">
      <alignment horizontal="center"/>
    </xf>
    <xf numFmtId="0" fontId="17" fillId="19" borderId="4" xfId="0" applyFont="1" applyFill="1" applyBorder="1"/>
    <xf numFmtId="0" fontId="17" fillId="19" borderId="5" xfId="0" applyFont="1" applyFill="1" applyBorder="1"/>
    <xf numFmtId="0" fontId="10" fillId="8" borderId="6" xfId="0" applyFont="1" applyFill="1" applyBorder="1" applyAlignment="1">
      <alignment horizontal="center"/>
    </xf>
    <xf numFmtId="0" fontId="10" fillId="8" borderId="7" xfId="0" applyFont="1" applyFill="1" applyBorder="1" applyAlignment="1">
      <alignment horizontal="center"/>
    </xf>
    <xf numFmtId="49" fontId="0" fillId="8" borderId="6" xfId="0" applyNumberForma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14" xfId="0" applyFill="1" applyBorder="1"/>
    <xf numFmtId="0" fontId="0" fillId="8" borderId="0" xfId="0" applyFill="1" applyBorder="1" applyAlignment="1"/>
    <xf numFmtId="0" fontId="0" fillId="11" borderId="3" xfId="0" applyFill="1" applyBorder="1"/>
    <xf numFmtId="0" fontId="5" fillId="11" borderId="4" xfId="0" applyFont="1" applyFill="1" applyBorder="1" applyAlignment="1">
      <alignment horizontal="right"/>
    </xf>
    <xf numFmtId="0" fontId="12" fillId="11" borderId="5" xfId="0" applyFont="1" applyFill="1" applyBorder="1"/>
    <xf numFmtId="0" fontId="0" fillId="0" borderId="6" xfId="0" applyBorder="1" applyAlignment="1"/>
    <xf numFmtId="0" fontId="0" fillId="8" borderId="7" xfId="0" applyFill="1" applyBorder="1" applyAlignment="1"/>
    <xf numFmtId="0" fontId="0" fillId="11" borderId="0" xfId="0" applyFill="1"/>
    <xf numFmtId="0" fontId="15" fillId="11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5" fillId="0" borderId="0" xfId="0" applyFont="1" applyFill="1"/>
    <xf numFmtId="0" fontId="0" fillId="0" borderId="15" xfId="0" applyFill="1" applyBorder="1" applyAlignment="1">
      <alignment horizontal="center"/>
    </xf>
    <xf numFmtId="0" fontId="27" fillId="8" borderId="20" xfId="0" applyFont="1" applyFill="1" applyBorder="1"/>
    <xf numFmtId="0" fontId="27" fillId="8" borderId="21" xfId="0" applyFont="1" applyFill="1" applyBorder="1"/>
    <xf numFmtId="0" fontId="28" fillId="8" borderId="21" xfId="0" applyFont="1" applyFill="1" applyBorder="1" applyAlignment="1">
      <alignment horizontal="center"/>
    </xf>
    <xf numFmtId="0" fontId="27" fillId="8" borderId="22" xfId="0" applyFont="1" applyFill="1" applyBorder="1"/>
    <xf numFmtId="0" fontId="27" fillId="8" borderId="23" xfId="0" applyFont="1" applyFill="1" applyBorder="1"/>
    <xf numFmtId="0" fontId="28" fillId="8" borderId="0" xfId="0" applyFont="1" applyFill="1" applyBorder="1"/>
    <xf numFmtId="0" fontId="27" fillId="8" borderId="0" xfId="0" applyFont="1" applyFill="1" applyBorder="1"/>
    <xf numFmtId="0" fontId="28" fillId="8" borderId="0" xfId="0" applyFont="1" applyFill="1" applyBorder="1" applyAlignment="1">
      <alignment horizontal="center"/>
    </xf>
    <xf numFmtId="0" fontId="27" fillId="8" borderId="24" xfId="0" applyFont="1" applyFill="1" applyBorder="1"/>
    <xf numFmtId="0" fontId="29" fillId="8" borderId="0" xfId="6" applyFont="1" applyFill="1" applyBorder="1"/>
    <xf numFmtId="0" fontId="27" fillId="8" borderId="25" xfId="0" applyFont="1" applyFill="1" applyBorder="1"/>
    <xf numFmtId="0" fontId="27" fillId="8" borderId="14" xfId="0" applyFont="1" applyFill="1" applyBorder="1"/>
    <xf numFmtId="0" fontId="27" fillId="8" borderId="26" xfId="0" applyFont="1" applyFill="1" applyBorder="1"/>
    <xf numFmtId="0" fontId="30" fillId="11" borderId="0" xfId="0" applyFont="1" applyFill="1" applyAlignment="1">
      <alignment horizontal="center"/>
    </xf>
  </cellXfs>
  <cellStyles count="7">
    <cellStyle name="Calculation" xfId="2" builtinId="22"/>
    <cellStyle name="Explanatory Text" xfId="5" builtinId="53"/>
    <cellStyle name="Hyperlink" xfId="6" builtinId="8"/>
    <cellStyle name="Input" xfId="1" builtinId="20"/>
    <cellStyle name="Normal" xfId="0" builtinId="0"/>
    <cellStyle name="Note" xfId="4" builtinId="10"/>
    <cellStyle name="Warning Text" xfId="3" builtinId="11"/>
  </cellStyles>
  <dxfs count="2">
    <dxf>
      <font>
        <color rgb="FF9C0006"/>
      </font>
      <fill>
        <patternFill>
          <bgColor rgb="FFFFC7CE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476065491813522E-2"/>
          <c:y val="1.8018018018018018E-2"/>
          <c:w val="0.86187326584176971"/>
          <c:h val="0.563995176278640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'CI Proportion'!$L$4</c:f>
              <c:strCache>
                <c:ptCount val="1"/>
              </c:strCache>
            </c:strRef>
          </c:tx>
          <c:spPr>
            <a:ln w="38100" cap="flat">
              <a:solidFill>
                <a:srgbClr val="0070C0"/>
              </a:solidFill>
              <a:bevel/>
              <a:tailEnd type="none"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0D9A-4159-8BC3-12E096E470D2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0D9A-4159-8BC3-12E096E470D2}"/>
              </c:ext>
            </c:extLst>
          </c:dPt>
          <c:xVal>
            <c:numRef>
              <c:f>'CI Proportion'!$D$13:$D$15</c:f>
              <c:numCache>
                <c:formatCode>0.000</c:formatCode>
                <c:ptCount val="3"/>
                <c:pt idx="0">
                  <c:v>0.66807529576912328</c:v>
                </c:pt>
                <c:pt idx="1">
                  <c:v>0.71</c:v>
                </c:pt>
                <c:pt idx="2">
                  <c:v>0.75192470423087665</c:v>
                </c:pt>
              </c:numCache>
            </c:numRef>
          </c:xVal>
          <c:yVal>
            <c:numRef>
              <c:f>'CI Proportion'!$E$13:$E$15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9A-4159-8BC3-12E096E47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905104"/>
        <c:axId val="648900184"/>
      </c:scatterChart>
      <c:valAx>
        <c:axId val="64890510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900184"/>
        <c:crosses val="autoZero"/>
        <c:crossBetween val="midCat"/>
      </c:valAx>
      <c:valAx>
        <c:axId val="648900184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90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581D-47BE-B6D3-59D4D9E7F8FA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581D-47BE-B6D3-59D4D9E7F8FA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581D-47BE-B6D3-59D4D9E7F8FA}"/>
              </c:ext>
            </c:extLst>
          </c:dPt>
          <c:xVal>
            <c:numRef>
              <c:f>'CI Mean'!$D$15:$D$17</c:f>
              <c:numCache>
                <c:formatCode>0.000</c:formatCode>
                <c:ptCount val="3"/>
                <c:pt idx="0">
                  <c:v>4.0918223069277344</c:v>
                </c:pt>
                <c:pt idx="1">
                  <c:v>4.1630000000000003</c:v>
                </c:pt>
                <c:pt idx="2">
                  <c:v>4.2341776930722661</c:v>
                </c:pt>
              </c:numCache>
            </c:numRef>
          </c:xVal>
          <c:yVal>
            <c:numRef>
              <c:f>'CI Mean'!$E$15:$E$17</c:f>
              <c:numCache>
                <c:formatCode>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1D-47BE-B6D3-59D4D9E7F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444576"/>
        <c:axId val="509940616"/>
      </c:scatterChart>
      <c:valAx>
        <c:axId val="50744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940616"/>
        <c:crosses val="autoZero"/>
        <c:crossBetween val="midCat"/>
      </c:valAx>
      <c:valAx>
        <c:axId val="509940616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4457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476065491813522E-2"/>
          <c:y val="1.8018018018018018E-2"/>
          <c:w val="0.86187326584176971"/>
          <c:h val="0.563995176278640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'CI Diff. Proportions'!$E$1</c:f>
              <c:strCache>
                <c:ptCount val="1"/>
                <c:pt idx="0">
                  <c:v>Confidence Interval of the Difference of Two Sample Proportions</c:v>
                </c:pt>
              </c:strCache>
            </c:strRef>
          </c:tx>
          <c:spPr>
            <a:ln w="38100" cap="flat">
              <a:solidFill>
                <a:srgbClr val="0070C0"/>
              </a:solidFill>
              <a:bevel/>
              <a:tailEnd type="none"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E9F2-4AAC-A262-30A5DA80078A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E9F2-4AAC-A262-30A5DA80078A}"/>
              </c:ext>
            </c:extLst>
          </c:dPt>
          <c:xVal>
            <c:numRef>
              <c:f>'CI Diff. Proportions'!$E$14:$E$16</c:f>
              <c:numCache>
                <c:formatCode>0.000</c:formatCode>
                <c:ptCount val="3"/>
                <c:pt idx="0">
                  <c:v>-0.18552299556340918</c:v>
                </c:pt>
                <c:pt idx="1">
                  <c:v>0</c:v>
                </c:pt>
                <c:pt idx="2">
                  <c:v>0.18552299556340918</c:v>
                </c:pt>
              </c:numCache>
            </c:numRef>
          </c:xVal>
          <c:yVal>
            <c:numRef>
              <c:f>'CI Diff. Proportions'!$F$14:$F$16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F2-4AAC-A262-30A5DA800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905104"/>
        <c:axId val="648900184"/>
      </c:scatterChart>
      <c:valAx>
        <c:axId val="648905104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900184"/>
        <c:crosses val="autoZero"/>
        <c:crossBetween val="midCat"/>
      </c:valAx>
      <c:valAx>
        <c:axId val="648900184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90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'CI Diff. Means'!$E$1</c:f>
              <c:strCache>
                <c:ptCount val="1"/>
                <c:pt idx="0">
                  <c:v>Confidence Interval of the Difference of Two Sample Means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6-CA1B-4C5D-9028-385B66E076AB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CA1B-4C5D-9028-385B66E076AB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5-CA1B-4C5D-9028-385B66E076AB}"/>
              </c:ext>
            </c:extLst>
          </c:dPt>
          <c:xVal>
            <c:numRef>
              <c:f>'CI Diff. Means'!$E$16:$E$18</c:f>
              <c:numCache>
                <c:formatCode>0.000</c:formatCode>
                <c:ptCount val="3"/>
                <c:pt idx="0">
                  <c:v>0.30312143329988789</c:v>
                </c:pt>
                <c:pt idx="1">
                  <c:v>0.70799999999999974</c:v>
                </c:pt>
                <c:pt idx="2">
                  <c:v>1.1128785667001115</c:v>
                </c:pt>
              </c:numCache>
            </c:numRef>
          </c:xVal>
          <c:yVal>
            <c:numRef>
              <c:f>'CI Diff. Means'!$F$16:$F$18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1B-4C5D-9028-385B66E07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444576"/>
        <c:axId val="509940616"/>
      </c:scatterChart>
      <c:valAx>
        <c:axId val="50744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940616"/>
        <c:crosses val="autoZero"/>
        <c:crossBetween val="midCat"/>
      </c:valAx>
      <c:valAx>
        <c:axId val="509940616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4457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Histogram of Standarized</a:t>
            </a:r>
            <a:r>
              <a:rPr lang="en-US" sz="1200" baseline="0"/>
              <a:t> </a:t>
            </a:r>
            <a:r>
              <a:rPr lang="en-US" sz="1200"/>
              <a:t>Residuals</a:t>
            </a:r>
          </a:p>
        </c:rich>
      </c:tx>
      <c:layout>
        <c:manualLayout>
          <c:xMode val="edge"/>
          <c:yMode val="edge"/>
          <c:x val="0.24892620860338968"/>
          <c:y val="4.7073149949586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'Normality of Residuals'!$L$26</c:f>
              <c:strCache>
                <c:ptCount val="1"/>
                <c:pt idx="0">
                  <c:v>obs.freq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'Normality of Residuals'!$R$7:$R$14</c:f>
              <c:strCache>
                <c:ptCount val="8"/>
                <c:pt idx="0">
                  <c:v>(-∞,-3]</c:v>
                </c:pt>
                <c:pt idx="1">
                  <c:v>(-3,-2]</c:v>
                </c:pt>
                <c:pt idx="2">
                  <c:v>(-2,-1]</c:v>
                </c:pt>
                <c:pt idx="3">
                  <c:v>(-1,0]</c:v>
                </c:pt>
                <c:pt idx="4">
                  <c:v>(0,1]</c:v>
                </c:pt>
                <c:pt idx="5">
                  <c:v>(1,2]</c:v>
                </c:pt>
                <c:pt idx="6">
                  <c:v>(2,3]</c:v>
                </c:pt>
                <c:pt idx="7">
                  <c:v>(3,∞]</c:v>
                </c:pt>
              </c:strCache>
            </c:strRef>
          </c:cat>
          <c:val>
            <c:numRef>
              <c:f>'Normality of Residuals'!$L$27:$L$34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DD-4EEE-84CD-6E1BB7448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6"/>
        <c:axId val="377392760"/>
        <c:axId val="377385216"/>
      </c:barChart>
      <c:catAx>
        <c:axId val="377392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Bins</a:t>
                </a:r>
                <a:r>
                  <a:rPr lang="en-US" baseline="0"/>
                  <a:t> of Standardized Residuals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385216"/>
        <c:crosses val="autoZero"/>
        <c:auto val="1"/>
        <c:lblAlgn val="ctr"/>
        <c:lblOffset val="100"/>
        <c:noMultiLvlLbl val="0"/>
      </c:catAx>
      <c:valAx>
        <c:axId val="37738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392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C$4" horiz="1" max="99" min="50" page="10" val="95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firstButton="1" fmlaLink="$D$36" lockText="1" noThreeD="1"/>
</file>

<file path=xl/ctrlProps/ctrlProp13.xml><?xml version="1.0" encoding="utf-8"?>
<formControlPr xmlns="http://schemas.microsoft.com/office/spreadsheetml/2009/9/main" objectType="Radio" checked="Checked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Scroll" dx="22" fmlaLink="$D$38" horiz="1" max="20" min="1" page="10" val="5"/>
</file>

<file path=xl/ctrlProps/ctrlProp16.xml><?xml version="1.0" encoding="utf-8"?>
<formControlPr xmlns="http://schemas.microsoft.com/office/spreadsheetml/2009/9/main" objectType="CheckBox" checked="Checked" fmlaLink="$D$37" lockText="1" noThreeD="1"/>
</file>

<file path=xl/ctrlProps/ctrlProp17.xml><?xml version="1.0" encoding="utf-8"?>
<formControlPr xmlns="http://schemas.microsoft.com/office/spreadsheetml/2009/9/main" objectType="Radio" checked="Checked" firstButton="1" fmlaLink="$C$28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Scroll" dx="22" fmlaLink="$D$6" horiz="1" max="30000" min="1" page="10" val="3649"/>
</file>

<file path=xl/ctrlProps/ctrlProp20.xml><?xml version="1.0" encoding="utf-8"?>
<formControlPr xmlns="http://schemas.microsoft.com/office/spreadsheetml/2009/9/main" objectType="Radio" firstButton="1" fmlaLink="$C$58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firstButton="1" fmlaLink="$C$59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checked="Checked" lockText="1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Spin" dx="22" fmlaLink="$D$4" max="100" page="10" val="95"/>
</file>

<file path=xl/ctrlProps/ctrlProp4.xml><?xml version="1.0" encoding="utf-8"?>
<formControlPr xmlns="http://schemas.microsoft.com/office/spreadsheetml/2009/9/main" objectType="Radio" firstButton="1" fmlaLink="$C$26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Scroll" dx="22" fmlaLink="$D$4" horiz="1" max="99" min="50" page="10" val="95"/>
</file>

<file path=xl/ctrlProps/ctrlProp7.xml><?xml version="1.0" encoding="utf-8"?>
<formControlPr xmlns="http://schemas.microsoft.com/office/spreadsheetml/2009/9/main" objectType="Scroll" dx="22" fmlaLink="$D$4" horiz="1" max="99" min="50" page="10" val="95"/>
</file>

<file path=xl/ctrlProps/ctrlProp8.xml><?xml version="1.0" encoding="utf-8"?>
<formControlPr xmlns="http://schemas.microsoft.com/office/spreadsheetml/2009/9/main" objectType="CheckBox" fmlaLink="$E$31" lockText="1" noThreeD="1"/>
</file>

<file path=xl/ctrlProps/ctrlProp9.xml><?xml version="1.0" encoding="utf-8"?>
<formControlPr xmlns="http://schemas.microsoft.com/office/spreadsheetml/2009/9/main" objectType="Radio" firstButton="1" fmlaLink="$C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3</xdr:row>
          <xdr:rowOff>31750</xdr:rowOff>
        </xdr:from>
        <xdr:to>
          <xdr:col>3</xdr:col>
          <xdr:colOff>476250</xdr:colOff>
          <xdr:row>4</xdr:row>
          <xdr:rowOff>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123825</xdr:colOff>
      <xdr:row>7</xdr:row>
      <xdr:rowOff>190499</xdr:rowOff>
    </xdr:from>
    <xdr:to>
      <xdr:col>6</xdr:col>
      <xdr:colOff>1114425</xdr:colOff>
      <xdr:row>11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28575</xdr:colOff>
      <xdr:row>0</xdr:row>
      <xdr:rowOff>152400</xdr:rowOff>
    </xdr:from>
    <xdr:ext cx="2933700" cy="123825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448425" y="15240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Sections 8.4.2 and 9.2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5</xdr:row>
          <xdr:rowOff>19050</xdr:rowOff>
        </xdr:from>
        <xdr:to>
          <xdr:col>5</xdr:col>
          <xdr:colOff>508000</xdr:colOff>
          <xdr:row>5</xdr:row>
          <xdr:rowOff>171450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2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146050</xdr:colOff>
          <xdr:row>3</xdr:row>
          <xdr:rowOff>31750</xdr:rowOff>
        </xdr:from>
        <xdr:to>
          <xdr:col>5</xdr:col>
          <xdr:colOff>317500</xdr:colOff>
          <xdr:row>4</xdr:row>
          <xdr:rowOff>0</xdr:rowOff>
        </xdr:to>
        <xdr:sp macro="" textlink="">
          <xdr:nvSpPr>
            <xdr:cNvPr id="5127" name="Spinner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2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5</xdr:row>
          <xdr:rowOff>171450</xdr:rowOff>
        </xdr:from>
        <xdr:to>
          <xdr:col>3</xdr:col>
          <xdr:colOff>488950</xdr:colOff>
          <xdr:row>7</xdr:row>
          <xdr:rowOff>19050</xdr:rowOff>
        </xdr:to>
        <xdr:sp macro="" textlink="">
          <xdr:nvSpPr>
            <xdr:cNvPr id="5129" name="Option Button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2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0</xdr:rowOff>
        </xdr:from>
        <xdr:to>
          <xdr:col>6</xdr:col>
          <xdr:colOff>31750</xdr:colOff>
          <xdr:row>7</xdr:row>
          <xdr:rowOff>0</xdr:rowOff>
        </xdr:to>
        <xdr:sp macro="" textlink="">
          <xdr:nvSpPr>
            <xdr:cNvPr id="5130" name="Option Button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2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xdr:twoCellAnchor>
    <xdr:from>
      <xdr:col>1</xdr:col>
      <xdr:colOff>180976</xdr:colOff>
      <xdr:row>10</xdr:row>
      <xdr:rowOff>9526</xdr:rowOff>
    </xdr:from>
    <xdr:to>
      <xdr:col>8</xdr:col>
      <xdr:colOff>533400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685800</xdr:colOff>
      <xdr:row>0</xdr:row>
      <xdr:rowOff>133350</xdr:rowOff>
    </xdr:from>
    <xdr:ext cx="2933700" cy="123825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6010275" y="13335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Sections 8.4.3 and 9.4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3</xdr:row>
          <xdr:rowOff>31750</xdr:rowOff>
        </xdr:from>
        <xdr:to>
          <xdr:col>4</xdr:col>
          <xdr:colOff>476250</xdr:colOff>
          <xdr:row>4</xdr:row>
          <xdr:rowOff>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66676</xdr:colOff>
      <xdr:row>9</xdr:row>
      <xdr:rowOff>9524</xdr:rowOff>
    </xdr:from>
    <xdr:to>
      <xdr:col>7</xdr:col>
      <xdr:colOff>695326</xdr:colOff>
      <xdr:row>12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95250</xdr:colOff>
      <xdr:row>0</xdr:row>
      <xdr:rowOff>171450</xdr:rowOff>
    </xdr:from>
    <xdr:ext cx="2933700" cy="123825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6362700" y="17145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9.3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3</xdr:row>
          <xdr:rowOff>31750</xdr:rowOff>
        </xdr:from>
        <xdr:to>
          <xdr:col>4</xdr:col>
          <xdr:colOff>476250</xdr:colOff>
          <xdr:row>4</xdr:row>
          <xdr:rowOff>0</xdr:rowOff>
        </xdr:to>
        <xdr:sp macro="" textlink="">
          <xdr:nvSpPr>
            <xdr:cNvPr id="22529" name="Scroll Bar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4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7</xdr:row>
          <xdr:rowOff>0</xdr:rowOff>
        </xdr:from>
        <xdr:to>
          <xdr:col>4</xdr:col>
          <xdr:colOff>527050</xdr:colOff>
          <xdr:row>8</xdr:row>
          <xdr:rowOff>12700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4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xdr:twoCellAnchor>
    <xdr:from>
      <xdr:col>1</xdr:col>
      <xdr:colOff>542924</xdr:colOff>
      <xdr:row>11</xdr:row>
      <xdr:rowOff>9525</xdr:rowOff>
    </xdr:from>
    <xdr:to>
      <xdr:col>7</xdr:col>
      <xdr:colOff>495300</xdr:colOff>
      <xdr:row>14</xdr:row>
      <xdr:rowOff>161924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142875</xdr:colOff>
      <xdr:row>0</xdr:row>
      <xdr:rowOff>123825</xdr:rowOff>
    </xdr:from>
    <xdr:ext cx="2933700" cy="123825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6867525" y="123825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9.5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50800</xdr:colOff>
          <xdr:row>7</xdr:row>
          <xdr:rowOff>146050</xdr:rowOff>
        </xdr:from>
        <xdr:to>
          <xdr:col>2</xdr:col>
          <xdr:colOff>222250</xdr:colOff>
          <xdr:row>8</xdr:row>
          <xdr:rowOff>171450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127000</xdr:rowOff>
        </xdr:from>
        <xdr:to>
          <xdr:col>3</xdr:col>
          <xdr:colOff>298450</xdr:colOff>
          <xdr:row>8</xdr:row>
          <xdr:rowOff>190500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5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7</xdr:row>
          <xdr:rowOff>146050</xdr:rowOff>
        </xdr:from>
        <xdr:to>
          <xdr:col>4</xdr:col>
          <xdr:colOff>209550</xdr:colOff>
          <xdr:row>8</xdr:row>
          <xdr:rowOff>171450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5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85726</xdr:colOff>
      <xdr:row>5</xdr:row>
      <xdr:rowOff>57150</xdr:rowOff>
    </xdr:from>
    <xdr:to>
      <xdr:col>2</xdr:col>
      <xdr:colOff>771526</xdr:colOff>
      <xdr:row>7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6" y="1152525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3</xdr:col>
      <xdr:colOff>76201</xdr:colOff>
      <xdr:row>5</xdr:row>
      <xdr:rowOff>66675</xdr:rowOff>
    </xdr:from>
    <xdr:to>
      <xdr:col>3</xdr:col>
      <xdr:colOff>762001</xdr:colOff>
      <xdr:row>7</xdr:row>
      <xdr:rowOff>142875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6" y="1162050"/>
          <a:ext cx="685800" cy="45720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66676</xdr:colOff>
      <xdr:row>5</xdr:row>
      <xdr:rowOff>76202</xdr:rowOff>
    </xdr:from>
    <xdr:to>
      <xdr:col>4</xdr:col>
      <xdr:colOff>752475</xdr:colOff>
      <xdr:row>7</xdr:row>
      <xdr:rowOff>152401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451" y="1171577"/>
          <a:ext cx="685799" cy="457199"/>
        </a:xfrm>
        <a:prstGeom prst="rect">
          <a:avLst/>
        </a:prstGeom>
      </xdr:spPr>
    </xdr:pic>
    <xdr:clientData/>
  </xdr:twoCellAnchor>
  <xdr:oneCellAnchor>
    <xdr:from>
      <xdr:col>8</xdr:col>
      <xdr:colOff>361950</xdr:colOff>
      <xdr:row>0</xdr:row>
      <xdr:rowOff>152400</xdr:rowOff>
    </xdr:from>
    <xdr:ext cx="2933700" cy="123825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6477000" y="15240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9.2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6</xdr:row>
          <xdr:rowOff>0</xdr:rowOff>
        </xdr:from>
        <xdr:to>
          <xdr:col>3</xdr:col>
          <xdr:colOff>298450</xdr:colOff>
          <xdr:row>6</xdr:row>
          <xdr:rowOff>190500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6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6</xdr:row>
          <xdr:rowOff>12700</xdr:rowOff>
        </xdr:from>
        <xdr:to>
          <xdr:col>4</xdr:col>
          <xdr:colOff>222250</xdr:colOff>
          <xdr:row>6</xdr:row>
          <xdr:rowOff>184150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6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5</xdr:row>
          <xdr:rowOff>184150</xdr:rowOff>
        </xdr:from>
        <xdr:to>
          <xdr:col>5</xdr:col>
          <xdr:colOff>222250</xdr:colOff>
          <xdr:row>6</xdr:row>
          <xdr:rowOff>209550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6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7</xdr:row>
          <xdr:rowOff>12700</xdr:rowOff>
        </xdr:from>
        <xdr:to>
          <xdr:col>4</xdr:col>
          <xdr:colOff>438150</xdr:colOff>
          <xdr:row>7</xdr:row>
          <xdr:rowOff>184150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6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3</xdr:col>
      <xdr:colOff>133350</xdr:colOff>
      <xdr:row>4</xdr:row>
      <xdr:rowOff>66675</xdr:rowOff>
    </xdr:from>
    <xdr:to>
      <xdr:col>3</xdr:col>
      <xdr:colOff>647703</xdr:colOff>
      <xdr:row>6</xdr:row>
      <xdr:rowOff>28577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942975"/>
          <a:ext cx="514353" cy="342902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4</xdr:row>
      <xdr:rowOff>76200</xdr:rowOff>
    </xdr:from>
    <xdr:to>
      <xdr:col>4</xdr:col>
      <xdr:colOff>600075</xdr:colOff>
      <xdr:row>6</xdr:row>
      <xdr:rowOff>19050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952500"/>
          <a:ext cx="485775" cy="323850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142876</xdr:colOff>
      <xdr:row>4</xdr:row>
      <xdr:rowOff>76201</xdr:rowOff>
    </xdr:from>
    <xdr:to>
      <xdr:col>5</xdr:col>
      <xdr:colOff>661988</xdr:colOff>
      <xdr:row>6</xdr:row>
      <xdr:rowOff>41275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1" y="952501"/>
          <a:ext cx="519112" cy="3460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9</xdr:row>
          <xdr:rowOff>184150</xdr:rowOff>
        </xdr:from>
        <xdr:to>
          <xdr:col>3</xdr:col>
          <xdr:colOff>514350</xdr:colOff>
          <xdr:row>11</xdr:row>
          <xdr:rowOff>12700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6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xdr:oneCellAnchor>
    <xdr:from>
      <xdr:col>9</xdr:col>
      <xdr:colOff>57150</xdr:colOff>
      <xdr:row>0</xdr:row>
      <xdr:rowOff>171450</xdr:rowOff>
    </xdr:from>
    <xdr:ext cx="2933700" cy="123825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7543800" y="17145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9.4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4</xdr:row>
      <xdr:rowOff>104777</xdr:rowOff>
    </xdr:from>
    <xdr:to>
      <xdr:col>4</xdr:col>
      <xdr:colOff>771525</xdr:colOff>
      <xdr:row>7</xdr:row>
      <xdr:rowOff>9527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1200152"/>
          <a:ext cx="714375" cy="476250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4</xdr:row>
      <xdr:rowOff>95250</xdr:rowOff>
    </xdr:from>
    <xdr:to>
      <xdr:col>3</xdr:col>
      <xdr:colOff>985838</xdr:colOff>
      <xdr:row>7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1190625"/>
          <a:ext cx="728663" cy="485775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4</xdr:row>
      <xdr:rowOff>104775</xdr:rowOff>
    </xdr:from>
    <xdr:to>
      <xdr:col>2</xdr:col>
      <xdr:colOff>762000</xdr:colOff>
      <xdr:row>7</xdr:row>
      <xdr:rowOff>22225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1200150"/>
          <a:ext cx="733425" cy="4889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260350</xdr:colOff>
          <xdr:row>6</xdr:row>
          <xdr:rowOff>69850</xdr:rowOff>
        </xdr:from>
        <xdr:to>
          <xdr:col>2</xdr:col>
          <xdr:colOff>431800</xdr:colOff>
          <xdr:row>7</xdr:row>
          <xdr:rowOff>133350</xdr:rowOff>
        </xdr:to>
        <xdr:sp macro="" textlink="">
          <xdr:nvSpPr>
            <xdr:cNvPr id="3073" name="Option 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7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495300</xdr:colOff>
          <xdr:row>6</xdr:row>
          <xdr:rowOff>76200</xdr:rowOff>
        </xdr:from>
        <xdr:to>
          <xdr:col>3</xdr:col>
          <xdr:colOff>698500</xdr:colOff>
          <xdr:row>7</xdr:row>
          <xdr:rowOff>95250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7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298450</xdr:colOff>
          <xdr:row>6</xdr:row>
          <xdr:rowOff>69850</xdr:rowOff>
        </xdr:from>
        <xdr:to>
          <xdr:col>4</xdr:col>
          <xdr:colOff>495300</xdr:colOff>
          <xdr:row>7</xdr:row>
          <xdr:rowOff>88900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7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7</xdr:col>
      <xdr:colOff>361950</xdr:colOff>
      <xdr:row>0</xdr:row>
      <xdr:rowOff>180975</xdr:rowOff>
    </xdr:from>
    <xdr:ext cx="2933700" cy="123825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6505575" y="180975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9.3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47626</xdr:colOff>
      <xdr:row>6</xdr:row>
      <xdr:rowOff>73027</xdr:rowOff>
    </xdr:from>
    <xdr:to>
      <xdr:col>5</xdr:col>
      <xdr:colOff>152401</xdr:colOff>
      <xdr:row>10</xdr:row>
      <xdr:rowOff>9527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6" y="1358902"/>
          <a:ext cx="1047750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923926</xdr:colOff>
      <xdr:row>6</xdr:row>
      <xdr:rowOff>53977</xdr:rowOff>
    </xdr:from>
    <xdr:to>
      <xdr:col>4</xdr:col>
      <xdr:colOff>133351</xdr:colOff>
      <xdr:row>9</xdr:row>
      <xdr:rowOff>180977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1" y="1339852"/>
          <a:ext cx="1047750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</xdr:row>
      <xdr:rowOff>38100</xdr:rowOff>
    </xdr:from>
    <xdr:to>
      <xdr:col>3</xdr:col>
      <xdr:colOff>90488</xdr:colOff>
      <xdr:row>9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1323975"/>
          <a:ext cx="1071563" cy="7143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9</xdr:row>
          <xdr:rowOff>69850</xdr:rowOff>
        </xdr:from>
        <xdr:to>
          <xdr:col>2</xdr:col>
          <xdr:colOff>647700</xdr:colOff>
          <xdr:row>10</xdr:row>
          <xdr:rowOff>69850</xdr:rowOff>
        </xdr:to>
        <xdr:sp macro="" textlink="">
          <xdr:nvSpPr>
            <xdr:cNvPr id="4102" name="Option Button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8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355600</xdr:colOff>
          <xdr:row>9</xdr:row>
          <xdr:rowOff>57150</xdr:rowOff>
        </xdr:from>
        <xdr:to>
          <xdr:col>3</xdr:col>
          <xdr:colOff>527050</xdr:colOff>
          <xdr:row>10</xdr:row>
          <xdr:rowOff>38100</xdr:rowOff>
        </xdr:to>
        <xdr:sp macro="" textlink="">
          <xdr:nvSpPr>
            <xdr:cNvPr id="4103" name="Option Button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8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9</xdr:row>
          <xdr:rowOff>50800</xdr:rowOff>
        </xdr:from>
        <xdr:to>
          <xdr:col>4</xdr:col>
          <xdr:colOff>622300</xdr:colOff>
          <xdr:row>10</xdr:row>
          <xdr:rowOff>76200</xdr:rowOff>
        </xdr:to>
        <xdr:sp macro="" textlink="">
          <xdr:nvSpPr>
            <xdr:cNvPr id="4104" name="Option Button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8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16</xdr:row>
          <xdr:rowOff>19050</xdr:rowOff>
        </xdr:from>
        <xdr:to>
          <xdr:col>3</xdr:col>
          <xdr:colOff>488950</xdr:colOff>
          <xdr:row>16</xdr:row>
          <xdr:rowOff>203200</xdr:rowOff>
        </xdr:to>
        <xdr:sp macro="" textlink="">
          <xdr:nvSpPr>
            <xdr:cNvPr id="4108" name="Option Button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8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17</xdr:row>
          <xdr:rowOff>19050</xdr:rowOff>
        </xdr:from>
        <xdr:to>
          <xdr:col>3</xdr:col>
          <xdr:colOff>495300</xdr:colOff>
          <xdr:row>17</xdr:row>
          <xdr:rowOff>228600</xdr:rowOff>
        </xdr:to>
        <xdr:sp macro="" textlink="">
          <xdr:nvSpPr>
            <xdr:cNvPr id="4109" name="Option Button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8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18</xdr:row>
          <xdr:rowOff>0</xdr:rowOff>
        </xdr:from>
        <xdr:to>
          <xdr:col>3</xdr:col>
          <xdr:colOff>527050</xdr:colOff>
          <xdr:row>19</xdr:row>
          <xdr:rowOff>12700</xdr:rowOff>
        </xdr:to>
        <xdr:sp macro="" textlink="">
          <xdr:nvSpPr>
            <xdr:cNvPr id="4110" name="Option Button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8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15</xdr:row>
          <xdr:rowOff>95250</xdr:rowOff>
        </xdr:from>
        <xdr:to>
          <xdr:col>5</xdr:col>
          <xdr:colOff>762000</xdr:colOff>
          <xdr:row>19</xdr:row>
          <xdr:rowOff>19050</xdr:rowOff>
        </xdr:to>
        <xdr:sp macro="" textlink="">
          <xdr:nvSpPr>
            <xdr:cNvPr id="4111" name="Group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8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Assumptions about Standard Deviations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</xdr:row>
          <xdr:rowOff>88900</xdr:rowOff>
        </xdr:from>
        <xdr:to>
          <xdr:col>5</xdr:col>
          <xdr:colOff>774700</xdr:colOff>
          <xdr:row>11</xdr:row>
          <xdr:rowOff>12700</xdr:rowOff>
        </xdr:to>
        <xdr:sp macro="" textlink="">
          <xdr:nvSpPr>
            <xdr:cNvPr id="4112" name="Group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8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Research Hypothesis</a:t>
              </a:r>
            </a:p>
          </xdr:txBody>
        </xdr:sp>
        <xdr:clientData/>
      </xdr:twoCellAnchor>
    </mc:Choice>
    <mc:Fallback/>
  </mc:AlternateContent>
  <xdr:oneCellAnchor>
    <xdr:from>
      <xdr:col>8</xdr:col>
      <xdr:colOff>200025</xdr:colOff>
      <xdr:row>0</xdr:row>
      <xdr:rowOff>133350</xdr:rowOff>
    </xdr:from>
    <xdr:ext cx="2933700" cy="123825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 txBox="1"/>
      </xdr:nvSpPr>
      <xdr:spPr>
        <a:xfrm>
          <a:off x="6877050" y="133350"/>
          <a:ext cx="2933700" cy="123825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Enter worksheet inputs. Results update automatically. See Section 9.5 of the </a:t>
          </a:r>
          <a:r>
            <a:rPr lang="en-US" sz="1400" i="1" baseline="0"/>
            <a:t>Excel Companion to Political Analysis </a:t>
          </a:r>
          <a:r>
            <a:rPr lang="en-US" sz="1400" baseline="0"/>
            <a:t>for detailed instructions and examples.</a:t>
          </a:r>
          <a:endParaRPr lang="en-US" sz="14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179917</xdr:colOff>
      <xdr:row>4</xdr:row>
      <xdr:rowOff>57150</xdr:rowOff>
    </xdr:from>
    <xdr:to>
      <xdr:col>15</xdr:col>
      <xdr:colOff>768351</xdr:colOff>
      <xdr:row>14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28575</xdr:colOff>
      <xdr:row>2</xdr:row>
      <xdr:rowOff>38100</xdr:rowOff>
    </xdr:from>
    <xdr:ext cx="8648906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3638550" y="38100"/>
          <a:ext cx="8648906" cy="31149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>
          <a:outerShdw blurRad="381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Instructions:</a:t>
          </a:r>
          <a:r>
            <a:rPr lang="en-US" sz="1400" b="1" baseline="0"/>
            <a:t> </a:t>
          </a:r>
          <a:r>
            <a:rPr lang="en-US" sz="1400" baseline="0"/>
            <a:t>Paste RESIDUAL OUTPUT table from Regression into (Cleared) Columns A:C with Residuals in column C.</a:t>
          </a:r>
          <a:endParaRPr lang="en-US" sz="14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1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5" Type="http://schemas.openxmlformats.org/officeDocument/2006/relationships/ctrlProp" Target="../ctrlProps/ctrlProp21.xml"/><Relationship Id="rId10" Type="http://schemas.openxmlformats.org/officeDocument/2006/relationships/ctrlProp" Target="../ctrlProps/ctrlProp26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F30A9-9B44-4402-A18D-94BCDC47FFB7}">
  <dimension ref="B2:H20"/>
  <sheetViews>
    <sheetView tabSelected="1" zoomScale="120" zoomScaleNormal="120" workbookViewId="0"/>
  </sheetViews>
  <sheetFormatPr defaultColWidth="9.1796875" defaultRowHeight="14.5" x14ac:dyDescent="0.35"/>
  <cols>
    <col min="1" max="1" width="23.7265625" style="203" customWidth="1"/>
    <col min="2" max="2" width="8.26953125" style="203" customWidth="1"/>
    <col min="3" max="4" width="9.1796875" style="203"/>
    <col min="5" max="5" width="12.81640625" style="203" customWidth="1"/>
    <col min="6" max="6" width="9.1796875" style="203"/>
    <col min="7" max="7" width="4" style="203" customWidth="1"/>
    <col min="8" max="8" width="16" style="203" customWidth="1"/>
    <col min="9" max="16384" width="9.1796875" style="203"/>
  </cols>
  <sheetData>
    <row r="2" spans="2:8" ht="31" x14ac:dyDescent="0.7">
      <c r="E2" s="222" t="s">
        <v>178</v>
      </c>
    </row>
    <row r="3" spans="2:8" ht="21" x14ac:dyDescent="0.5">
      <c r="E3" s="204" t="s">
        <v>179</v>
      </c>
    </row>
    <row r="4" spans="2:8" ht="12" customHeight="1" thickBot="1" x14ac:dyDescent="0.55000000000000004">
      <c r="E4" s="204"/>
    </row>
    <row r="5" spans="2:8" ht="15" customHeight="1" x14ac:dyDescent="0.45">
      <c r="B5" s="209"/>
      <c r="C5" s="210"/>
      <c r="D5" s="210"/>
      <c r="E5" s="210"/>
      <c r="F5" s="210"/>
      <c r="G5" s="211"/>
      <c r="H5" s="212"/>
    </row>
    <row r="6" spans="2:8" ht="15" customHeight="1" x14ac:dyDescent="0.45">
      <c r="B6" s="213"/>
      <c r="C6" s="214" t="s">
        <v>170</v>
      </c>
      <c r="D6" s="215"/>
      <c r="E6" s="215"/>
      <c r="F6" s="215"/>
      <c r="G6" s="216"/>
      <c r="H6" s="217"/>
    </row>
    <row r="7" spans="2:8" ht="18.5" x14ac:dyDescent="0.45">
      <c r="B7" s="213"/>
      <c r="C7" s="218" t="s">
        <v>171</v>
      </c>
      <c r="D7" s="215"/>
      <c r="E7" s="215"/>
      <c r="F7" s="215"/>
      <c r="G7" s="215"/>
      <c r="H7" s="217"/>
    </row>
    <row r="8" spans="2:8" ht="18.5" x14ac:dyDescent="0.45">
      <c r="B8" s="213"/>
      <c r="C8" s="218" t="s">
        <v>172</v>
      </c>
      <c r="D8" s="215"/>
      <c r="E8" s="215"/>
      <c r="F8" s="215"/>
      <c r="G8" s="215"/>
      <c r="H8" s="217"/>
    </row>
    <row r="9" spans="2:8" ht="18.5" x14ac:dyDescent="0.45">
      <c r="B9" s="213"/>
      <c r="C9" s="218" t="s">
        <v>173</v>
      </c>
      <c r="D9" s="215"/>
      <c r="E9" s="215"/>
      <c r="F9" s="215"/>
      <c r="G9" s="215"/>
      <c r="H9" s="217"/>
    </row>
    <row r="10" spans="2:8" ht="18.5" x14ac:dyDescent="0.45">
      <c r="B10" s="213"/>
      <c r="C10" s="218" t="s">
        <v>174</v>
      </c>
      <c r="D10" s="215"/>
      <c r="E10" s="215"/>
      <c r="F10" s="215"/>
      <c r="G10" s="215"/>
      <c r="H10" s="217"/>
    </row>
    <row r="11" spans="2:8" ht="18.5" x14ac:dyDescent="0.45">
      <c r="B11" s="213"/>
      <c r="C11" s="214"/>
      <c r="D11" s="215"/>
      <c r="E11" s="215"/>
      <c r="F11" s="215"/>
      <c r="G11" s="215"/>
      <c r="H11" s="217"/>
    </row>
    <row r="12" spans="2:8" ht="18.5" x14ac:dyDescent="0.45">
      <c r="B12" s="213"/>
      <c r="C12" s="214" t="s">
        <v>175</v>
      </c>
      <c r="D12" s="215"/>
      <c r="E12" s="215"/>
      <c r="F12" s="215"/>
      <c r="G12" s="215"/>
      <c r="H12" s="217"/>
    </row>
    <row r="13" spans="2:8" ht="18.5" x14ac:dyDescent="0.45">
      <c r="B13" s="213"/>
      <c r="C13" s="218" t="s">
        <v>44</v>
      </c>
      <c r="D13" s="215"/>
      <c r="E13" s="215"/>
      <c r="F13" s="215"/>
      <c r="G13" s="215"/>
      <c r="H13" s="217"/>
    </row>
    <row r="14" spans="2:8" ht="18.5" x14ac:dyDescent="0.45">
      <c r="B14" s="213"/>
      <c r="C14" s="218" t="s">
        <v>45</v>
      </c>
      <c r="D14" s="215"/>
      <c r="E14" s="215"/>
      <c r="F14" s="215"/>
      <c r="G14" s="215"/>
      <c r="H14" s="217"/>
    </row>
    <row r="15" spans="2:8" ht="18.5" x14ac:dyDescent="0.45">
      <c r="B15" s="213"/>
      <c r="C15" s="218" t="s">
        <v>46</v>
      </c>
      <c r="D15" s="215"/>
      <c r="E15" s="215"/>
      <c r="F15" s="215"/>
      <c r="G15" s="215"/>
      <c r="H15" s="217"/>
    </row>
    <row r="16" spans="2:8" ht="18.5" x14ac:dyDescent="0.45">
      <c r="B16" s="213"/>
      <c r="C16" s="218" t="s">
        <v>47</v>
      </c>
      <c r="D16" s="215"/>
      <c r="E16" s="215"/>
      <c r="F16" s="215"/>
      <c r="G16" s="215"/>
      <c r="H16" s="217"/>
    </row>
    <row r="17" spans="2:8" ht="18.5" x14ac:dyDescent="0.45">
      <c r="B17" s="213"/>
      <c r="C17" s="215"/>
      <c r="D17" s="215"/>
      <c r="E17" s="215"/>
      <c r="F17" s="215"/>
      <c r="G17" s="215"/>
      <c r="H17" s="217"/>
    </row>
    <row r="18" spans="2:8" ht="18.5" x14ac:dyDescent="0.45">
      <c r="B18" s="213"/>
      <c r="C18" s="214" t="s">
        <v>176</v>
      </c>
      <c r="D18" s="215"/>
      <c r="E18" s="215"/>
      <c r="F18" s="215"/>
      <c r="G18" s="215"/>
      <c r="H18" s="217"/>
    </row>
    <row r="19" spans="2:8" ht="18.5" x14ac:dyDescent="0.45">
      <c r="B19" s="213"/>
      <c r="C19" s="218" t="s">
        <v>177</v>
      </c>
      <c r="D19" s="215"/>
      <c r="E19" s="215"/>
      <c r="F19" s="215"/>
      <c r="G19" s="215"/>
      <c r="H19" s="217"/>
    </row>
    <row r="20" spans="2:8" ht="19" thickBot="1" x14ac:dyDescent="0.5">
      <c r="B20" s="219"/>
      <c r="C20" s="220"/>
      <c r="D20" s="220"/>
      <c r="E20" s="220"/>
      <c r="F20" s="220"/>
      <c r="G20" s="220"/>
      <c r="H20" s="221"/>
    </row>
  </sheetData>
  <hyperlinks>
    <hyperlink ref="C7" location="'CI Mean'!A1" display="Confidence Interval of a Sample Mean" xr:uid="{9EA3577E-16A4-4886-8244-DB30145536F2}"/>
    <hyperlink ref="C8" location="'CI Proportion'!A1" display="Confidence Interval of a Sample Proportion" xr:uid="{3AA663BC-F360-4897-9483-E3071FBBAFCB}"/>
    <hyperlink ref="C13" location="'One Mean Test'!A1" display="One Sample Difference of Means Test" xr:uid="{7A9E571F-4DC8-4C31-9427-093F2B94CA50}"/>
    <hyperlink ref="C14" location="'One Proportion Test'!A1" display="One Sample Difference of Proportions Test" xr:uid="{35EB9E68-68A9-430D-85DF-27FF1800425E}"/>
    <hyperlink ref="C10" location="'CI Diff. Proportions'!A1" display="CI of Difference of Two Sample Proportions?" xr:uid="{D6D045FA-236A-48D8-BB30-47DEF21C74EA}"/>
    <hyperlink ref="C15" location="'Two Means Test'!A1" display="Two Sample Difference of Means Test" xr:uid="{901157A4-5D1C-49DB-B93B-664312202A4E}"/>
    <hyperlink ref="C16" location="'Two Proportions Test'!A1" display="Two Sample Difference of Proportions Test" xr:uid="{12A38105-6FA7-4C61-86BF-3AC84618B0BD}"/>
    <hyperlink ref="C19" location="'Normality of Residuals'!A1" display="Testing Normality of Residuals" xr:uid="{F3A59AD2-2672-47A7-BBE9-D6A0F9B5230E}"/>
    <hyperlink ref="C9" location="'CI Diff. Means'!A1" display="CI of the Difference of Two Sample Means" xr:uid="{437EC8BD-BA97-4352-8477-F37BCC80ED90}"/>
  </hyperlinks>
  <pageMargins left="0.7" right="0.7" top="0.75" bottom="0.75" header="0.3" footer="0.3"/>
  <pageSetup paperSize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EE4C1-8E67-4991-AA03-6132113E8F7E}">
  <dimension ref="A1:R160"/>
  <sheetViews>
    <sheetView zoomScaleNormal="100" workbookViewId="0">
      <selection activeCell="A22" sqref="A22"/>
    </sheetView>
  </sheetViews>
  <sheetFormatPr defaultRowHeight="14.5" x14ac:dyDescent="0.35"/>
  <cols>
    <col min="1" max="1" width="13.81640625" style="118" customWidth="1"/>
    <col min="2" max="2" width="22.453125" style="118" customWidth="1"/>
    <col min="3" max="3" width="13.453125" style="118" customWidth="1"/>
    <col min="4" max="4" width="1.81640625" style="23" customWidth="1"/>
    <col min="5" max="5" width="1.453125" style="166" customWidth="1"/>
    <col min="6" max="6" width="1.1796875" customWidth="1"/>
    <col min="7" max="7" width="11.26953125" customWidth="1"/>
    <col min="8" max="8" width="0.7265625" customWidth="1"/>
    <col min="9" max="9" width="10.81640625" style="156" customWidth="1"/>
    <col min="10" max="10" width="16.81640625" customWidth="1"/>
    <col min="12" max="12" width="12.7265625" customWidth="1"/>
    <col min="13" max="13" width="14.453125" customWidth="1"/>
    <col min="14" max="14" width="3.1796875" customWidth="1"/>
    <col min="15" max="15" width="17.54296875" customWidth="1"/>
    <col min="16" max="16" width="11.54296875" customWidth="1"/>
    <col min="18" max="18" width="11.81640625" customWidth="1"/>
    <col min="20" max="20" width="10.26953125" customWidth="1"/>
  </cols>
  <sheetData>
    <row r="1" spans="1:18" s="203" customFormat="1" ht="23.5" x14ac:dyDescent="0.55000000000000004">
      <c r="A1" s="207" t="s">
        <v>128</v>
      </c>
      <c r="B1" s="23"/>
      <c r="C1" s="23"/>
      <c r="D1" s="23"/>
      <c r="E1" s="208"/>
      <c r="I1" s="206"/>
      <c r="M1" s="205" t="s">
        <v>169</v>
      </c>
    </row>
    <row r="2" spans="1:18" ht="15" thickBot="1" x14ac:dyDescent="0.4">
      <c r="A2" s="23"/>
      <c r="B2" s="23"/>
      <c r="C2" s="23"/>
      <c r="E2" s="163"/>
    </row>
    <row r="3" spans="1:18" x14ac:dyDescent="0.35">
      <c r="A3" s="167" t="s">
        <v>129</v>
      </c>
      <c r="B3" s="167" t="s">
        <v>156</v>
      </c>
      <c r="C3" s="167" t="s">
        <v>130</v>
      </c>
      <c r="D3" s="172"/>
      <c r="E3" s="164"/>
      <c r="F3" s="156"/>
      <c r="J3" s="2"/>
      <c r="K3" s="2"/>
    </row>
    <row r="4" spans="1:18" x14ac:dyDescent="0.35">
      <c r="A4" s="168">
        <v>1</v>
      </c>
      <c r="B4" s="169">
        <v>49.305153161636305</v>
      </c>
      <c r="C4" s="169">
        <v>3.0643776131056271</v>
      </c>
      <c r="E4" s="165"/>
      <c r="F4" s="156"/>
      <c r="J4" s="2"/>
      <c r="K4" s="2"/>
    </row>
    <row r="5" spans="1:18" x14ac:dyDescent="0.35">
      <c r="A5" s="168">
        <v>2</v>
      </c>
      <c r="B5" s="169">
        <v>46.804583811924296</v>
      </c>
      <c r="C5" s="169">
        <v>-2.2564727505857576</v>
      </c>
      <c r="E5" s="165"/>
      <c r="F5" s="159"/>
      <c r="J5" s="172"/>
      <c r="K5" s="172"/>
      <c r="L5" s="173"/>
      <c r="M5" s="173"/>
      <c r="N5" s="173"/>
      <c r="O5" s="173"/>
      <c r="P5" s="23"/>
      <c r="Q5" s="158"/>
    </row>
    <row r="6" spans="1:18" x14ac:dyDescent="0.35">
      <c r="A6" s="168">
        <v>3</v>
      </c>
      <c r="B6" s="169">
        <v>56.450936406273925</v>
      </c>
      <c r="C6" s="169">
        <v>1.3007149914001914</v>
      </c>
      <c r="E6" s="165"/>
      <c r="F6" s="157"/>
      <c r="G6" s="93"/>
      <c r="H6" s="184" t="s">
        <v>151</v>
      </c>
      <c r="I6" s="185"/>
      <c r="J6" s="10"/>
      <c r="K6" s="10"/>
      <c r="L6" s="174"/>
      <c r="M6" s="174"/>
      <c r="N6" s="174"/>
      <c r="O6" s="174"/>
      <c r="P6" s="23"/>
      <c r="R6" s="162" t="s">
        <v>141</v>
      </c>
    </row>
    <row r="7" spans="1:18" x14ac:dyDescent="0.35">
      <c r="A7" s="168">
        <v>4</v>
      </c>
      <c r="B7" s="169">
        <v>54.032697807288351</v>
      </c>
      <c r="C7" s="169">
        <v>-4.1152592139947473</v>
      </c>
      <c r="E7" s="165"/>
      <c r="F7" s="157"/>
      <c r="G7" s="18" t="s">
        <v>134</v>
      </c>
      <c r="H7" s="10"/>
      <c r="I7" s="148">
        <f>COUNT(C:C)</f>
        <v>18</v>
      </c>
      <c r="J7" s="75" t="str">
        <f ca="1">_xlfn.FORMULATEXT(I7)</f>
        <v>=COUNT(C:C)</v>
      </c>
      <c r="K7" s="10"/>
      <c r="L7" s="174"/>
      <c r="M7" s="174"/>
      <c r="N7" s="174"/>
      <c r="O7" s="174"/>
      <c r="P7" s="23"/>
      <c r="R7" s="162" t="str">
        <f t="shared" ref="R7:R14" si="0">_xlfn.CONCAT("(",J27,",",K27,"]")</f>
        <v>(-∞,-3]</v>
      </c>
    </row>
    <row r="8" spans="1:18" x14ac:dyDescent="0.35">
      <c r="A8" s="168">
        <v>5</v>
      </c>
      <c r="B8" s="169">
        <v>61.00789131800336</v>
      </c>
      <c r="C8" s="169">
        <v>0.33681197579882394</v>
      </c>
      <c r="E8" s="165"/>
      <c r="F8" s="157"/>
      <c r="G8" s="17" t="s">
        <v>138</v>
      </c>
      <c r="H8" s="10"/>
      <c r="I8" s="99">
        <f>AVERAGE(residuals)</f>
        <v>7.1054273576010019E-15</v>
      </c>
      <c r="J8" s="75" t="str">
        <f t="shared" ref="J8:J11" ca="1" si="1">_xlfn.FORMULATEXT(I8)</f>
        <v>=AVERAGE(residuals)</v>
      </c>
      <c r="K8" s="10"/>
      <c r="L8" s="174"/>
      <c r="M8" s="174"/>
      <c r="N8" s="174"/>
      <c r="O8" s="174"/>
      <c r="P8" s="23"/>
      <c r="R8" s="162" t="str">
        <f t="shared" si="0"/>
        <v>(-3,-2]</v>
      </c>
    </row>
    <row r="9" spans="1:18" x14ac:dyDescent="0.35">
      <c r="A9" s="168">
        <v>6</v>
      </c>
      <c r="B9" s="169">
        <v>51.314969555241866</v>
      </c>
      <c r="C9" s="169">
        <v>-1.7209159116190946</v>
      </c>
      <c r="E9" s="165"/>
      <c r="F9" s="157"/>
      <c r="G9" s="18" t="s">
        <v>155</v>
      </c>
      <c r="H9" s="10"/>
      <c r="I9" s="99">
        <f>_xlfn.STDEV.S(C:C)</f>
        <v>3.0007338364146587</v>
      </c>
      <c r="J9" s="75" t="str">
        <f t="shared" ca="1" si="1"/>
        <v>=STDEV.S(C:C)</v>
      </c>
      <c r="K9" s="10"/>
      <c r="L9" s="174"/>
      <c r="M9" s="174"/>
      <c r="N9" s="174"/>
      <c r="O9" s="174"/>
      <c r="P9" s="23"/>
      <c r="R9" s="162" t="str">
        <f t="shared" si="0"/>
        <v>(-2,-1]</v>
      </c>
    </row>
    <row r="10" spans="1:18" x14ac:dyDescent="0.35">
      <c r="A10" s="168">
        <v>7</v>
      </c>
      <c r="B10" s="169">
        <v>55.312580431221249</v>
      </c>
      <c r="C10" s="169">
        <v>6.4735294618320154</v>
      </c>
      <c r="E10" s="165"/>
      <c r="F10" s="157"/>
      <c r="G10" s="18" t="s">
        <v>139</v>
      </c>
      <c r="H10" s="10"/>
      <c r="I10" s="99">
        <f>SKEW(C:C)</f>
        <v>0.16079422875454288</v>
      </c>
      <c r="J10" s="75" t="str">
        <f t="shared" ca="1" si="1"/>
        <v>=SKEW(C:C)</v>
      </c>
      <c r="K10" s="10"/>
      <c r="L10" s="174"/>
      <c r="M10" s="174"/>
      <c r="N10" s="174"/>
      <c r="O10" s="174"/>
      <c r="P10" s="23"/>
      <c r="R10" s="162" t="str">
        <f t="shared" si="0"/>
        <v>(-1,0]</v>
      </c>
    </row>
    <row r="11" spans="1:18" x14ac:dyDescent="0.35">
      <c r="A11" s="168">
        <v>8</v>
      </c>
      <c r="B11" s="169">
        <v>53.232824615863279</v>
      </c>
      <c r="C11" s="169">
        <v>-4.2851102881923495</v>
      </c>
      <c r="E11" s="165"/>
      <c r="F11" s="157"/>
      <c r="G11" s="19" t="s">
        <v>140</v>
      </c>
      <c r="H11" s="15"/>
      <c r="I11" s="99">
        <f>KURT(C:C)</f>
        <v>-0.21891546305976384</v>
      </c>
      <c r="J11" s="75" t="str">
        <f t="shared" ca="1" si="1"/>
        <v>=KURT(C:C)</v>
      </c>
      <c r="K11" s="10"/>
      <c r="L11" s="174"/>
      <c r="M11" s="174"/>
      <c r="N11" s="174"/>
      <c r="O11" s="174"/>
      <c r="P11" s="23"/>
      <c r="R11" s="162" t="str">
        <f t="shared" si="0"/>
        <v>(0,1]</v>
      </c>
    </row>
    <row r="12" spans="1:18" x14ac:dyDescent="0.35">
      <c r="A12" s="168">
        <v>9</v>
      </c>
      <c r="B12" s="169">
        <v>45.872579153108802</v>
      </c>
      <c r="C12" s="169">
        <v>-1.177920594692047</v>
      </c>
      <c r="E12" s="165"/>
      <c r="F12" s="157"/>
      <c r="J12" s="10"/>
      <c r="K12" s="10"/>
      <c r="L12" s="174"/>
      <c r="M12" s="174"/>
      <c r="N12" s="174"/>
      <c r="O12" s="174"/>
      <c r="P12" s="23"/>
      <c r="R12" s="162" t="str">
        <f t="shared" si="0"/>
        <v>(1,2]</v>
      </c>
    </row>
    <row r="13" spans="1:18" x14ac:dyDescent="0.35">
      <c r="A13" s="168">
        <v>10</v>
      </c>
      <c r="B13" s="169">
        <v>56.657587185777707</v>
      </c>
      <c r="C13" s="169">
        <v>2.5120325577172835</v>
      </c>
      <c r="E13" s="165"/>
      <c r="F13" s="157"/>
      <c r="G13" s="104"/>
      <c r="H13" s="182" t="s">
        <v>152</v>
      </c>
      <c r="I13" s="183"/>
      <c r="J13" s="10"/>
      <c r="K13" s="10"/>
      <c r="L13" s="174"/>
      <c r="M13" s="174"/>
      <c r="N13" s="174"/>
      <c r="O13" s="174"/>
      <c r="P13" s="23"/>
      <c r="R13" s="162" t="str">
        <f t="shared" si="0"/>
        <v>(2,3]</v>
      </c>
    </row>
    <row r="14" spans="1:18" x14ac:dyDescent="0.35">
      <c r="A14" s="168">
        <v>11</v>
      </c>
      <c r="B14" s="169">
        <v>53.051191895075462</v>
      </c>
      <c r="C14" s="169">
        <v>0.85036677549675233</v>
      </c>
      <c r="E14" s="165"/>
      <c r="F14" s="157"/>
      <c r="G14" s="19" t="s">
        <v>55</v>
      </c>
      <c r="H14" s="15"/>
      <c r="I14" s="28">
        <v>0.05</v>
      </c>
      <c r="J14" s="23"/>
      <c r="K14" s="10"/>
      <c r="L14" s="23"/>
      <c r="M14" s="23"/>
      <c r="N14" s="23"/>
      <c r="O14" s="23"/>
      <c r="P14" s="23"/>
      <c r="R14" s="162" t="str">
        <f t="shared" si="0"/>
        <v>(3,∞]</v>
      </c>
    </row>
    <row r="15" spans="1:18" x14ac:dyDescent="0.35">
      <c r="A15" s="168">
        <v>12</v>
      </c>
      <c r="B15" s="169">
        <v>48.908416082926564</v>
      </c>
      <c r="C15" s="169">
        <v>-2.3633351446164497</v>
      </c>
      <c r="E15" s="165"/>
      <c r="F15" s="157"/>
      <c r="J15" s="23"/>
      <c r="K15" s="23"/>
      <c r="L15" s="23"/>
      <c r="M15" s="23"/>
      <c r="N15" s="23"/>
      <c r="O15" s="23"/>
      <c r="P15" s="23"/>
    </row>
    <row r="16" spans="1:18" x14ac:dyDescent="0.35">
      <c r="A16" s="168">
        <v>13</v>
      </c>
      <c r="B16" s="169">
        <v>53.309869273925024</v>
      </c>
      <c r="C16" s="169">
        <v>1.4267609282025973</v>
      </c>
      <c r="E16" s="165"/>
      <c r="F16" s="157"/>
      <c r="J16" s="187"/>
      <c r="K16" s="188" t="s">
        <v>142</v>
      </c>
      <c r="L16" s="189"/>
      <c r="M16" s="190"/>
      <c r="O16" s="175"/>
      <c r="P16" s="176" t="s">
        <v>149</v>
      </c>
      <c r="Q16" s="177"/>
      <c r="R16" s="178"/>
    </row>
    <row r="17" spans="1:18" x14ac:dyDescent="0.35">
      <c r="A17" s="168">
        <v>14</v>
      </c>
      <c r="B17" s="169">
        <v>55.157549512026108</v>
      </c>
      <c r="C17" s="169">
        <v>-4.8895044770104477</v>
      </c>
      <c r="E17" s="165"/>
      <c r="F17" s="157"/>
      <c r="J17" s="18" t="s">
        <v>147</v>
      </c>
      <c r="K17" s="10" t="s">
        <v>148</v>
      </c>
      <c r="L17" s="10"/>
      <c r="M17" s="11"/>
      <c r="O17" s="18" t="s">
        <v>147</v>
      </c>
      <c r="P17" s="10" t="s">
        <v>148</v>
      </c>
      <c r="Q17" s="10"/>
      <c r="R17" s="11"/>
    </row>
    <row r="18" spans="1:18" x14ac:dyDescent="0.35">
      <c r="A18" s="168">
        <v>15</v>
      </c>
      <c r="B18" s="169">
        <v>52.458611622959232</v>
      </c>
      <c r="C18" s="169">
        <v>-1.214624864790629</v>
      </c>
      <c r="E18" s="165"/>
      <c r="F18" s="157"/>
      <c r="J18" s="18" t="s">
        <v>144</v>
      </c>
      <c r="K18" s="99">
        <f>_xlfn.CHISQ.INV.RT(K20,K19)</f>
        <v>1.954058609517038</v>
      </c>
      <c r="L18" s="75" t="str">
        <f ca="1">_xlfn.FORMULATEXT(K18)</f>
        <v>=CHISQ.INV.RT(K20,K19)</v>
      </c>
      <c r="M18" s="11"/>
      <c r="O18" s="18" t="s">
        <v>150</v>
      </c>
      <c r="P18" s="179">
        <f>n.sample*((skewness^2/6)+((kurtosis)^2/24))</f>
        <v>0.11350733697730792</v>
      </c>
      <c r="Q18" s="75" t="str">
        <f ca="1">_xlfn.FORMULATEXT(P18)</f>
        <v>=n.sample*((skewness^2/6)+((kurtosis)^2/24))</v>
      </c>
      <c r="R18" s="11"/>
    </row>
    <row r="19" spans="1:18" x14ac:dyDescent="0.35">
      <c r="A19" s="168">
        <v>16</v>
      </c>
      <c r="B19" s="169">
        <v>43.096361205212268</v>
      </c>
      <c r="C19" s="169">
        <v>3.2147912826441498</v>
      </c>
      <c r="E19" s="165"/>
      <c r="F19" s="157"/>
      <c r="J19" s="18" t="s">
        <v>145</v>
      </c>
      <c r="K19" s="161">
        <f>COUNTA(J27:J34)-1</f>
        <v>7</v>
      </c>
      <c r="L19" s="75" t="str">
        <f t="shared" ref="L19:L21" ca="1" si="2">_xlfn.FORMULATEXT(K19)</f>
        <v>=COUNTA(J27:J34)-1</v>
      </c>
      <c r="M19" s="11"/>
      <c r="O19" s="18" t="s">
        <v>146</v>
      </c>
      <c r="P19" s="181">
        <f>_xlfn.CHISQ.DIST.RT(P18,2)</f>
        <v>0.94482678131220488</v>
      </c>
      <c r="Q19" s="75" t="str">
        <f t="shared" ref="Q19:Q20" ca="1" si="3">_xlfn.FORMULATEXT(P19)</f>
        <v>=CHISQ.DIST.RT(P18,2)</v>
      </c>
      <c r="R19" s="11"/>
    </row>
    <row r="20" spans="1:18" x14ac:dyDescent="0.35">
      <c r="A20" s="168">
        <v>17</v>
      </c>
      <c r="B20" s="169">
        <v>49.902077923345558</v>
      </c>
      <c r="C20" s="169">
        <v>2.0617843286642028</v>
      </c>
      <c r="E20" s="165"/>
      <c r="F20" s="157"/>
      <c r="J20" s="18" t="s">
        <v>146</v>
      </c>
      <c r="K20" s="181">
        <f>_xlfn.CHISQ.TEST(L27:L34,L38:L45)</f>
        <v>0.96233925876910287</v>
      </c>
      <c r="L20" s="75" t="str">
        <f t="shared" ca="1" si="2"/>
        <v>=CHISQ.TEST(L27:L34,L38:L45)</v>
      </c>
      <c r="M20" s="11"/>
      <c r="O20" s="18" t="s">
        <v>143</v>
      </c>
      <c r="P20" s="180">
        <f>_xlfn.CHISQ.INV.RT(alpha,2)</f>
        <v>5.9914645471079817</v>
      </c>
      <c r="Q20" s="75" t="str">
        <f t="shared" ca="1" si="3"/>
        <v>=CHISQ.INV.RT(alpha,2)</v>
      </c>
      <c r="R20" s="11"/>
    </row>
    <row r="21" spans="1:18" ht="15" thickBot="1" x14ac:dyDescent="0.4">
      <c r="A21" s="170">
        <v>18</v>
      </c>
      <c r="B21" s="171">
        <v>50.329996694008926</v>
      </c>
      <c r="C21" s="171">
        <v>0.78197333064000674</v>
      </c>
      <c r="E21" s="165"/>
      <c r="F21" s="157"/>
      <c r="J21" s="18" t="s">
        <v>143</v>
      </c>
      <c r="K21" s="99">
        <f>_xlfn.CHISQ.INV.RT(alpha,K19)</f>
        <v>14.067140449340167</v>
      </c>
      <c r="L21" s="75" t="str">
        <f t="shared" ca="1" si="2"/>
        <v>=CHISQ.INV.RT(alpha,K19)</v>
      </c>
      <c r="M21" s="11"/>
      <c r="O21" s="18" t="s">
        <v>2</v>
      </c>
      <c r="P21" s="10" t="str">
        <f>IF(P19&lt;alpha,"Reject null hypothesis.","Fail to reject null hypothesis.")</f>
        <v>Fail to reject null hypothesis.</v>
      </c>
      <c r="Q21" s="10"/>
      <c r="R21" s="11"/>
    </row>
    <row r="22" spans="1:18" x14ac:dyDescent="0.35">
      <c r="A22" s="168"/>
      <c r="B22" s="169"/>
      <c r="C22" s="169"/>
      <c r="E22" s="165"/>
      <c r="F22" s="157"/>
      <c r="J22" s="18" t="s">
        <v>2</v>
      </c>
      <c r="K22" s="10" t="str">
        <f>IF(K20&lt;alpha,"Reject null hypothesis.","Fail to reject null hypothesis.")</f>
        <v>Fail to reject null hypothesis.</v>
      </c>
      <c r="L22" s="10"/>
      <c r="M22" s="11"/>
      <c r="O22" s="13"/>
      <c r="P22" s="24" t="str">
        <f>IF(P19&lt;alpha,"Fail test","Pass test")</f>
        <v>Pass test</v>
      </c>
      <c r="Q22" s="15"/>
      <c r="R22" s="16"/>
    </row>
    <row r="23" spans="1:18" x14ac:dyDescent="0.35">
      <c r="A23" s="168"/>
      <c r="B23" s="169"/>
      <c r="C23" s="169"/>
      <c r="E23" s="165"/>
      <c r="F23" s="157"/>
      <c r="J23" s="186"/>
      <c r="K23" s="24" t="str">
        <f>IF(K20&lt;alpha,"Fail test","Pass test")</f>
        <v>Pass test</v>
      </c>
      <c r="L23" s="15"/>
      <c r="M23" s="16"/>
    </row>
    <row r="24" spans="1:18" x14ac:dyDescent="0.35">
      <c r="A24" s="168"/>
      <c r="B24" s="169"/>
      <c r="C24" s="169"/>
      <c r="E24" s="165"/>
      <c r="F24" s="157"/>
    </row>
    <row r="25" spans="1:18" x14ac:dyDescent="0.35">
      <c r="A25" s="168"/>
      <c r="B25" s="169"/>
      <c r="C25" s="169"/>
      <c r="E25" s="165"/>
      <c r="F25" s="157"/>
      <c r="J25" s="195"/>
      <c r="K25" s="59" t="s">
        <v>136</v>
      </c>
      <c r="L25" s="5"/>
    </row>
    <row r="26" spans="1:18" x14ac:dyDescent="0.35">
      <c r="A26" s="168"/>
      <c r="B26" s="169"/>
      <c r="C26" s="169"/>
      <c r="E26" s="165"/>
      <c r="F26" s="157"/>
      <c r="J26" s="191" t="s">
        <v>153</v>
      </c>
      <c r="K26" s="172" t="s">
        <v>154</v>
      </c>
      <c r="L26" s="192" t="s">
        <v>135</v>
      </c>
    </row>
    <row r="27" spans="1:18" x14ac:dyDescent="0.35">
      <c r="A27" s="168"/>
      <c r="B27" s="169"/>
      <c r="C27" s="169"/>
      <c r="E27" s="165"/>
      <c r="F27" s="157"/>
      <c r="J27" s="193" t="s">
        <v>132</v>
      </c>
      <c r="K27" s="45">
        <v>-3</v>
      </c>
      <c r="L27" s="46">
        <f>FREQUENCY(residuals,K27*stdev)</f>
        <v>0</v>
      </c>
      <c r="M27" s="77" t="str">
        <f ca="1">_xlfn.FORMULATEXT(L27)</f>
        <v>=@FREQUENCY(residuals,K27*stdev)</v>
      </c>
    </row>
    <row r="28" spans="1:18" x14ac:dyDescent="0.35">
      <c r="A28" s="168"/>
      <c r="B28" s="169"/>
      <c r="C28" s="169"/>
      <c r="E28" s="165"/>
      <c r="F28" s="157"/>
      <c r="J28" s="55">
        <v>-3</v>
      </c>
      <c r="K28" s="45">
        <v>-2</v>
      </c>
      <c r="L28" s="46">
        <f t="shared" ref="L28:L33" si="4">FREQUENCY(residuals,K28*stdev)-FREQUENCY(residuals,J28*stdev)</f>
        <v>0</v>
      </c>
      <c r="M28" s="77" t="str">
        <f t="shared" ref="M28:M34" ca="1" si="5">_xlfn.FORMULATEXT(L28)</f>
        <v>=@FREQUENCY(residuals,K28*stdev)-@FREQUENCY(residuals,J28*stdev)</v>
      </c>
    </row>
    <row r="29" spans="1:18" x14ac:dyDescent="0.35">
      <c r="A29" s="168"/>
      <c r="B29" s="169"/>
      <c r="C29" s="169"/>
      <c r="E29" s="165"/>
      <c r="F29" s="157"/>
      <c r="J29" s="55">
        <v>-2</v>
      </c>
      <c r="K29" s="45">
        <v>-1</v>
      </c>
      <c r="L29" s="46">
        <f t="shared" si="4"/>
        <v>3</v>
      </c>
      <c r="M29" s="77" t="str">
        <f t="shared" ca="1" si="5"/>
        <v>=@FREQUENCY(residuals,K29*stdev)-@FREQUENCY(residuals,J29*stdev)</v>
      </c>
    </row>
    <row r="30" spans="1:18" x14ac:dyDescent="0.35">
      <c r="A30" s="168"/>
      <c r="B30" s="169"/>
      <c r="C30" s="169"/>
      <c r="E30" s="165"/>
      <c r="F30" s="157"/>
      <c r="J30" s="55">
        <v>-1</v>
      </c>
      <c r="K30" s="45">
        <v>0</v>
      </c>
      <c r="L30" s="46">
        <f t="shared" si="4"/>
        <v>5</v>
      </c>
      <c r="M30" s="77" t="str">
        <f t="shared" ca="1" si="5"/>
        <v>=@FREQUENCY(residuals,K30*stdev)-@FREQUENCY(residuals,J30*stdev)</v>
      </c>
    </row>
    <row r="31" spans="1:18" x14ac:dyDescent="0.35">
      <c r="A31" s="168"/>
      <c r="B31" s="169"/>
      <c r="C31" s="169"/>
      <c r="E31" s="165"/>
      <c r="F31" s="157"/>
      <c r="J31" s="55">
        <v>0</v>
      </c>
      <c r="K31" s="45">
        <v>1</v>
      </c>
      <c r="L31" s="46">
        <f t="shared" si="4"/>
        <v>7</v>
      </c>
      <c r="M31" s="77" t="str">
        <f t="shared" ca="1" si="5"/>
        <v>=@FREQUENCY(residuals,K31*stdev)-@FREQUENCY(residuals,J31*stdev)</v>
      </c>
    </row>
    <row r="32" spans="1:18" x14ac:dyDescent="0.35">
      <c r="A32" s="168"/>
      <c r="B32" s="169"/>
      <c r="C32" s="169"/>
      <c r="E32" s="165"/>
      <c r="F32" s="157"/>
      <c r="J32" s="55">
        <v>1</v>
      </c>
      <c r="K32" s="45">
        <v>2</v>
      </c>
      <c r="L32" s="46">
        <f t="shared" si="4"/>
        <v>2</v>
      </c>
      <c r="M32" s="77" t="str">
        <f t="shared" ca="1" si="5"/>
        <v>=@FREQUENCY(residuals,K32*stdev)-@FREQUENCY(residuals,J32*stdev)</v>
      </c>
    </row>
    <row r="33" spans="1:13" x14ac:dyDescent="0.35">
      <c r="A33" s="168"/>
      <c r="B33" s="169"/>
      <c r="C33" s="169"/>
      <c r="E33" s="165"/>
      <c r="F33" s="157"/>
      <c r="J33" s="55">
        <v>2</v>
      </c>
      <c r="K33" s="45">
        <v>3</v>
      </c>
      <c r="L33" s="46">
        <f t="shared" si="4"/>
        <v>1</v>
      </c>
      <c r="M33" s="77" t="str">
        <f t="shared" ca="1" si="5"/>
        <v>=@FREQUENCY(residuals,K33*stdev)-@FREQUENCY(residuals,J33*stdev)</v>
      </c>
    </row>
    <row r="34" spans="1:13" x14ac:dyDescent="0.35">
      <c r="A34" s="168"/>
      <c r="B34" s="169"/>
      <c r="C34" s="169"/>
      <c r="E34" s="165"/>
      <c r="F34" s="157"/>
      <c r="J34" s="186">
        <v>3</v>
      </c>
      <c r="K34" s="194" t="s">
        <v>133</v>
      </c>
      <c r="L34" s="28">
        <f>n.sample-FREQUENCY(residuals,J34*stdev)</f>
        <v>0</v>
      </c>
      <c r="M34" s="77" t="str">
        <f t="shared" ca="1" si="5"/>
        <v>=n.sample-@FREQUENCY(residuals,J34*stdev)</v>
      </c>
    </row>
    <row r="35" spans="1:13" x14ac:dyDescent="0.35">
      <c r="A35" s="168"/>
      <c r="B35" s="169"/>
      <c r="C35" s="169"/>
      <c r="E35" s="165"/>
      <c r="F35" s="157"/>
    </row>
    <row r="36" spans="1:13" x14ac:dyDescent="0.35">
      <c r="A36" s="168"/>
      <c r="B36" s="169"/>
      <c r="C36" s="169"/>
      <c r="E36" s="165"/>
      <c r="F36" s="157"/>
      <c r="J36" s="195"/>
      <c r="K36" s="59" t="s">
        <v>137</v>
      </c>
      <c r="L36" s="5"/>
    </row>
    <row r="37" spans="1:13" x14ac:dyDescent="0.35">
      <c r="A37" s="168"/>
      <c r="B37" s="169"/>
      <c r="C37" s="169"/>
      <c r="E37" s="165"/>
      <c r="F37" s="157"/>
      <c r="J37" s="191" t="s">
        <v>153</v>
      </c>
      <c r="K37" s="172" t="s">
        <v>154</v>
      </c>
      <c r="L37" s="192" t="s">
        <v>131</v>
      </c>
    </row>
    <row r="38" spans="1:13" x14ac:dyDescent="0.35">
      <c r="A38" s="168"/>
      <c r="B38" s="169"/>
      <c r="C38" s="169"/>
      <c r="E38" s="165"/>
      <c r="F38" s="157"/>
      <c r="J38" s="193" t="s">
        <v>132</v>
      </c>
      <c r="K38" s="45">
        <v>-3</v>
      </c>
      <c r="L38" s="62">
        <f>_xlfn.NORM.S.DIST(K38,TRUE)*n.sample</f>
        <v>2.4298164569341679E-2</v>
      </c>
      <c r="M38" s="77" t="str">
        <f ca="1">_xlfn.FORMULATEXT(L38)</f>
        <v>=NORM.S.DIST(K38,TRUE)*n.sample</v>
      </c>
    </row>
    <row r="39" spans="1:13" x14ac:dyDescent="0.35">
      <c r="A39" s="168"/>
      <c r="B39" s="169"/>
      <c r="C39" s="169"/>
      <c r="E39" s="165"/>
      <c r="F39" s="157"/>
      <c r="J39" s="55">
        <v>-3</v>
      </c>
      <c r="K39" s="45">
        <v>-2</v>
      </c>
      <c r="L39" s="62">
        <f t="shared" ref="L39:L44" si="6">(_xlfn.NORM.S.DIST(K39,TRUE)-_xlfn.NORM.S.DIST(J39,TRUE))*n.sample</f>
        <v>0.38520421049788378</v>
      </c>
      <c r="M39" s="77" t="str">
        <f t="shared" ref="M39:M45" ca="1" si="7">_xlfn.FORMULATEXT(L39)</f>
        <v>=(NORM.S.DIST(K39,TRUE)-NORM.S.DIST(J39,TRUE))*n.sample</v>
      </c>
    </row>
    <row r="40" spans="1:13" x14ac:dyDescent="0.35">
      <c r="A40" s="168"/>
      <c r="B40" s="169"/>
      <c r="C40" s="169"/>
      <c r="E40" s="165"/>
      <c r="F40" s="157"/>
      <c r="J40" s="55">
        <v>-2</v>
      </c>
      <c r="K40" s="45">
        <v>-1</v>
      </c>
      <c r="L40" s="62">
        <f t="shared" si="6"/>
        <v>2.4462921956990007</v>
      </c>
      <c r="M40" s="77" t="str">
        <f t="shared" ca="1" si="7"/>
        <v>=(NORM.S.DIST(K40,TRUE)-NORM.S.DIST(J40,TRUE))*n.sample</v>
      </c>
    </row>
    <row r="41" spans="1:13" x14ac:dyDescent="0.35">
      <c r="A41" s="168"/>
      <c r="B41" s="169"/>
      <c r="C41" s="169"/>
      <c r="E41" s="165"/>
      <c r="F41" s="157"/>
      <c r="J41" s="55">
        <v>-1</v>
      </c>
      <c r="K41" s="45">
        <v>0</v>
      </c>
      <c r="L41" s="62">
        <f t="shared" si="6"/>
        <v>6.1442054292337751</v>
      </c>
      <c r="M41" s="77" t="str">
        <f t="shared" ca="1" si="7"/>
        <v>=(NORM.S.DIST(K41,TRUE)-NORM.S.DIST(J41,TRUE))*n.sample</v>
      </c>
    </row>
    <row r="42" spans="1:13" x14ac:dyDescent="0.35">
      <c r="A42" s="168"/>
      <c r="B42" s="169"/>
      <c r="C42" s="169"/>
      <c r="E42" s="165"/>
      <c r="F42" s="157"/>
      <c r="J42" s="55">
        <v>0</v>
      </c>
      <c r="K42" s="45">
        <v>1</v>
      </c>
      <c r="L42" s="62">
        <f t="shared" si="6"/>
        <v>6.1442054292337751</v>
      </c>
      <c r="M42" s="77" t="str">
        <f t="shared" ca="1" si="7"/>
        <v>=(NORM.S.DIST(K42,TRUE)-NORM.S.DIST(J42,TRUE))*n.sample</v>
      </c>
    </row>
    <row r="43" spans="1:13" x14ac:dyDescent="0.35">
      <c r="A43" s="168"/>
      <c r="B43" s="169"/>
      <c r="C43" s="169"/>
      <c r="E43" s="165"/>
      <c r="F43" s="157"/>
      <c r="J43" s="55">
        <v>1</v>
      </c>
      <c r="K43" s="45">
        <v>2</v>
      </c>
      <c r="L43" s="62">
        <f t="shared" si="6"/>
        <v>2.4462921956989998</v>
      </c>
      <c r="M43" s="77" t="str">
        <f t="shared" ca="1" si="7"/>
        <v>=(NORM.S.DIST(K43,TRUE)-NORM.S.DIST(J43,TRUE))*n.sample</v>
      </c>
    </row>
    <row r="44" spans="1:13" x14ac:dyDescent="0.35">
      <c r="A44" s="168"/>
      <c r="B44" s="169"/>
      <c r="C44" s="169"/>
      <c r="E44" s="165"/>
      <c r="F44" s="157"/>
      <c r="J44" s="55">
        <v>2</v>
      </c>
      <c r="K44" s="45">
        <v>3</v>
      </c>
      <c r="L44" s="62">
        <f t="shared" si="6"/>
        <v>0.38520421049788389</v>
      </c>
      <c r="M44" s="77" t="str">
        <f t="shared" ca="1" si="7"/>
        <v>=(NORM.S.DIST(K44,TRUE)-NORM.S.DIST(J44,TRUE))*n.sample</v>
      </c>
    </row>
    <row r="45" spans="1:13" x14ac:dyDescent="0.35">
      <c r="A45" s="168"/>
      <c r="B45" s="169"/>
      <c r="C45" s="169"/>
      <c r="E45" s="165"/>
      <c r="F45" s="157"/>
      <c r="J45" s="186">
        <v>3</v>
      </c>
      <c r="K45" s="194" t="s">
        <v>133</v>
      </c>
      <c r="L45" s="115">
        <f>(1-_xlfn.NORM.S.DIST(J45,TRUE))*$I$7</f>
        <v>2.4298164569341862E-2</v>
      </c>
      <c r="M45" s="77" t="str">
        <f t="shared" ca="1" si="7"/>
        <v>=(1-NORM.S.DIST(J45,TRUE))*$I$7</v>
      </c>
    </row>
    <row r="46" spans="1:13" x14ac:dyDescent="0.35">
      <c r="A46" s="168"/>
      <c r="B46" s="169"/>
      <c r="C46" s="169"/>
      <c r="E46" s="165"/>
      <c r="F46" s="157"/>
    </row>
    <row r="47" spans="1:13" x14ac:dyDescent="0.35">
      <c r="A47" s="168"/>
      <c r="B47" s="169"/>
      <c r="C47" s="169"/>
      <c r="E47" s="165"/>
      <c r="F47" s="157"/>
    </row>
    <row r="48" spans="1:13" x14ac:dyDescent="0.35">
      <c r="A48" s="168"/>
      <c r="B48" s="169"/>
      <c r="C48" s="169"/>
      <c r="E48" s="165"/>
      <c r="F48" s="157"/>
    </row>
    <row r="49" spans="1:6" x14ac:dyDescent="0.35">
      <c r="A49" s="168"/>
      <c r="B49" s="169"/>
      <c r="C49" s="169"/>
      <c r="E49" s="165"/>
      <c r="F49" s="157"/>
    </row>
    <row r="50" spans="1:6" x14ac:dyDescent="0.35">
      <c r="A50" s="168"/>
      <c r="B50" s="169"/>
      <c r="C50" s="169"/>
      <c r="E50" s="165"/>
      <c r="F50" s="157"/>
    </row>
    <row r="51" spans="1:6" x14ac:dyDescent="0.35">
      <c r="A51" s="168"/>
      <c r="B51" s="169"/>
      <c r="C51" s="169"/>
      <c r="E51" s="165"/>
      <c r="F51" s="157"/>
    </row>
    <row r="52" spans="1:6" x14ac:dyDescent="0.35">
      <c r="A52" s="168"/>
      <c r="B52" s="169"/>
      <c r="C52" s="169"/>
      <c r="E52" s="165"/>
      <c r="F52" s="157"/>
    </row>
    <row r="53" spans="1:6" x14ac:dyDescent="0.35">
      <c r="A53" s="168"/>
      <c r="B53" s="169"/>
      <c r="C53" s="169"/>
      <c r="E53" s="165"/>
      <c r="F53" s="157"/>
    </row>
    <row r="54" spans="1:6" x14ac:dyDescent="0.35">
      <c r="A54" s="168"/>
      <c r="B54" s="169"/>
      <c r="C54" s="169"/>
      <c r="F54" s="157"/>
    </row>
    <row r="55" spans="1:6" x14ac:dyDescent="0.35">
      <c r="A55" s="168"/>
      <c r="B55" s="169"/>
      <c r="C55" s="169"/>
      <c r="F55" s="160"/>
    </row>
    <row r="56" spans="1:6" x14ac:dyDescent="0.35">
      <c r="A56" s="168"/>
      <c r="B56" s="169"/>
      <c r="C56" s="169"/>
    </row>
    <row r="57" spans="1:6" x14ac:dyDescent="0.35">
      <c r="A57" s="168"/>
      <c r="B57" s="169"/>
      <c r="C57" s="169"/>
    </row>
    <row r="58" spans="1:6" x14ac:dyDescent="0.35">
      <c r="A58" s="168"/>
      <c r="B58" s="169"/>
      <c r="C58" s="169"/>
    </row>
    <row r="59" spans="1:6" x14ac:dyDescent="0.35">
      <c r="A59" s="168"/>
      <c r="B59" s="169"/>
      <c r="C59" s="169"/>
    </row>
    <row r="60" spans="1:6" x14ac:dyDescent="0.35">
      <c r="A60" s="168"/>
      <c r="B60" s="169"/>
      <c r="C60" s="169"/>
    </row>
    <row r="61" spans="1:6" x14ac:dyDescent="0.35">
      <c r="A61" s="168"/>
      <c r="B61" s="169"/>
      <c r="C61" s="169"/>
    </row>
    <row r="62" spans="1:6" x14ac:dyDescent="0.35">
      <c r="A62" s="168"/>
      <c r="B62" s="169"/>
      <c r="C62" s="169"/>
    </row>
    <row r="63" spans="1:6" x14ac:dyDescent="0.35">
      <c r="A63" s="168"/>
      <c r="B63" s="169"/>
      <c r="C63" s="169"/>
    </row>
    <row r="64" spans="1:6" x14ac:dyDescent="0.35">
      <c r="A64" s="168"/>
      <c r="B64" s="169"/>
      <c r="C64" s="169"/>
    </row>
    <row r="65" spans="1:3" x14ac:dyDescent="0.35">
      <c r="A65" s="168"/>
      <c r="B65" s="169"/>
      <c r="C65" s="169"/>
    </row>
    <row r="66" spans="1:3" x14ac:dyDescent="0.35">
      <c r="A66" s="168"/>
      <c r="B66" s="169"/>
      <c r="C66" s="169"/>
    </row>
    <row r="67" spans="1:3" x14ac:dyDescent="0.35">
      <c r="A67" s="168"/>
      <c r="B67" s="169"/>
      <c r="C67" s="169"/>
    </row>
    <row r="68" spans="1:3" x14ac:dyDescent="0.35">
      <c r="A68" s="168"/>
      <c r="B68" s="169"/>
      <c r="C68" s="169"/>
    </row>
    <row r="69" spans="1:3" x14ac:dyDescent="0.35">
      <c r="A69" s="168"/>
      <c r="B69" s="169"/>
      <c r="C69" s="169"/>
    </row>
    <row r="70" spans="1:3" x14ac:dyDescent="0.35">
      <c r="A70" s="168"/>
      <c r="B70" s="169"/>
      <c r="C70" s="169"/>
    </row>
    <row r="71" spans="1:3" x14ac:dyDescent="0.35">
      <c r="A71" s="168"/>
      <c r="B71" s="169"/>
      <c r="C71" s="169"/>
    </row>
    <row r="72" spans="1:3" x14ac:dyDescent="0.35">
      <c r="A72" s="168"/>
      <c r="B72" s="169"/>
      <c r="C72" s="169"/>
    </row>
    <row r="73" spans="1:3" x14ac:dyDescent="0.35">
      <c r="A73" s="168"/>
      <c r="B73" s="169"/>
      <c r="C73" s="169"/>
    </row>
    <row r="74" spans="1:3" x14ac:dyDescent="0.35">
      <c r="A74" s="168"/>
      <c r="B74" s="169"/>
      <c r="C74" s="169"/>
    </row>
    <row r="75" spans="1:3" x14ac:dyDescent="0.35">
      <c r="A75" s="168"/>
      <c r="B75" s="169"/>
      <c r="C75" s="169"/>
    </row>
    <row r="76" spans="1:3" x14ac:dyDescent="0.35">
      <c r="A76" s="168"/>
      <c r="B76" s="169"/>
      <c r="C76" s="169"/>
    </row>
    <row r="77" spans="1:3" x14ac:dyDescent="0.35">
      <c r="A77" s="168"/>
      <c r="B77" s="169"/>
      <c r="C77" s="169"/>
    </row>
    <row r="78" spans="1:3" x14ac:dyDescent="0.35">
      <c r="A78" s="168"/>
      <c r="B78" s="169"/>
      <c r="C78" s="169"/>
    </row>
    <row r="79" spans="1:3" x14ac:dyDescent="0.35">
      <c r="A79" s="168"/>
      <c r="B79" s="169"/>
      <c r="C79" s="169"/>
    </row>
    <row r="80" spans="1:3" x14ac:dyDescent="0.35">
      <c r="A80" s="168"/>
      <c r="B80" s="169"/>
      <c r="C80" s="169"/>
    </row>
    <row r="81" spans="1:3" x14ac:dyDescent="0.35">
      <c r="A81" s="168"/>
      <c r="B81" s="169"/>
      <c r="C81" s="169"/>
    </row>
    <row r="82" spans="1:3" x14ac:dyDescent="0.35">
      <c r="A82" s="168"/>
      <c r="B82" s="169"/>
      <c r="C82" s="169"/>
    </row>
    <row r="83" spans="1:3" x14ac:dyDescent="0.35">
      <c r="A83" s="168"/>
      <c r="B83" s="169"/>
      <c r="C83" s="169"/>
    </row>
    <row r="84" spans="1:3" x14ac:dyDescent="0.35">
      <c r="A84" s="168"/>
      <c r="B84" s="169"/>
      <c r="C84" s="169"/>
    </row>
    <row r="85" spans="1:3" x14ac:dyDescent="0.35">
      <c r="A85" s="168"/>
      <c r="B85" s="169"/>
      <c r="C85" s="169"/>
    </row>
    <row r="86" spans="1:3" x14ac:dyDescent="0.35">
      <c r="A86" s="168"/>
      <c r="B86" s="169"/>
      <c r="C86" s="169"/>
    </row>
    <row r="87" spans="1:3" x14ac:dyDescent="0.35">
      <c r="A87" s="168"/>
      <c r="B87" s="169"/>
      <c r="C87" s="169"/>
    </row>
    <row r="88" spans="1:3" x14ac:dyDescent="0.35">
      <c r="A88" s="168"/>
      <c r="B88" s="169"/>
      <c r="C88" s="169"/>
    </row>
    <row r="89" spans="1:3" x14ac:dyDescent="0.35">
      <c r="A89" s="168"/>
      <c r="B89" s="169"/>
      <c r="C89" s="169"/>
    </row>
    <row r="90" spans="1:3" x14ac:dyDescent="0.35">
      <c r="A90" s="168"/>
      <c r="B90" s="169"/>
      <c r="C90" s="169"/>
    </row>
    <row r="91" spans="1:3" x14ac:dyDescent="0.35">
      <c r="A91" s="168"/>
      <c r="B91" s="169"/>
      <c r="C91" s="169"/>
    </row>
    <row r="92" spans="1:3" x14ac:dyDescent="0.35">
      <c r="A92" s="168"/>
      <c r="B92" s="169"/>
      <c r="C92" s="169"/>
    </row>
    <row r="93" spans="1:3" x14ac:dyDescent="0.35">
      <c r="A93" s="168"/>
      <c r="B93" s="169"/>
      <c r="C93" s="169"/>
    </row>
    <row r="94" spans="1:3" x14ac:dyDescent="0.35">
      <c r="A94" s="168"/>
      <c r="B94" s="169"/>
      <c r="C94" s="169"/>
    </row>
    <row r="95" spans="1:3" x14ac:dyDescent="0.35">
      <c r="A95" s="168"/>
      <c r="B95" s="169"/>
      <c r="C95" s="169"/>
    </row>
    <row r="96" spans="1:3" x14ac:dyDescent="0.35">
      <c r="A96" s="168"/>
      <c r="B96" s="169"/>
      <c r="C96" s="169"/>
    </row>
    <row r="97" spans="1:3" x14ac:dyDescent="0.35">
      <c r="A97" s="168"/>
      <c r="B97" s="169"/>
      <c r="C97" s="169"/>
    </row>
    <row r="98" spans="1:3" x14ac:dyDescent="0.35">
      <c r="A98" s="168"/>
      <c r="B98" s="169"/>
      <c r="C98" s="169"/>
    </row>
    <row r="99" spans="1:3" x14ac:dyDescent="0.35">
      <c r="A99" s="168"/>
      <c r="B99" s="169"/>
      <c r="C99" s="169"/>
    </row>
    <row r="100" spans="1:3" x14ac:dyDescent="0.35">
      <c r="A100" s="168"/>
      <c r="B100" s="169"/>
      <c r="C100" s="169"/>
    </row>
    <row r="101" spans="1:3" x14ac:dyDescent="0.35">
      <c r="A101" s="168"/>
      <c r="B101" s="169"/>
      <c r="C101" s="169"/>
    </row>
    <row r="102" spans="1:3" x14ac:dyDescent="0.35">
      <c r="A102" s="168"/>
      <c r="B102" s="169"/>
      <c r="C102" s="169"/>
    </row>
    <row r="103" spans="1:3" x14ac:dyDescent="0.35">
      <c r="A103" s="168"/>
      <c r="B103" s="169"/>
      <c r="C103" s="169"/>
    </row>
    <row r="104" spans="1:3" x14ac:dyDescent="0.35">
      <c r="A104" s="168"/>
      <c r="B104" s="169"/>
      <c r="C104" s="169"/>
    </row>
    <row r="105" spans="1:3" x14ac:dyDescent="0.35">
      <c r="A105" s="168"/>
      <c r="B105" s="169"/>
      <c r="C105" s="169"/>
    </row>
    <row r="106" spans="1:3" x14ac:dyDescent="0.35">
      <c r="A106" s="168"/>
      <c r="B106" s="169"/>
      <c r="C106" s="169"/>
    </row>
    <row r="107" spans="1:3" x14ac:dyDescent="0.35">
      <c r="A107" s="168"/>
      <c r="B107" s="169"/>
      <c r="C107" s="169"/>
    </row>
    <row r="108" spans="1:3" x14ac:dyDescent="0.35">
      <c r="A108" s="168"/>
      <c r="B108" s="169"/>
      <c r="C108" s="169"/>
    </row>
    <row r="109" spans="1:3" x14ac:dyDescent="0.35">
      <c r="A109" s="168"/>
      <c r="B109" s="169"/>
      <c r="C109" s="169"/>
    </row>
    <row r="110" spans="1:3" x14ac:dyDescent="0.35">
      <c r="A110" s="168"/>
      <c r="B110" s="169"/>
      <c r="C110" s="169"/>
    </row>
    <row r="111" spans="1:3" x14ac:dyDescent="0.35">
      <c r="A111" s="168"/>
      <c r="B111" s="169"/>
      <c r="C111" s="169"/>
    </row>
    <row r="112" spans="1:3" x14ac:dyDescent="0.35">
      <c r="A112" s="168"/>
      <c r="B112" s="169"/>
      <c r="C112" s="169"/>
    </row>
    <row r="113" spans="1:3" x14ac:dyDescent="0.35">
      <c r="A113" s="168"/>
      <c r="B113" s="169"/>
      <c r="C113" s="169"/>
    </row>
    <row r="114" spans="1:3" x14ac:dyDescent="0.35">
      <c r="A114" s="168"/>
      <c r="B114" s="169"/>
      <c r="C114" s="169"/>
    </row>
    <row r="115" spans="1:3" x14ac:dyDescent="0.35">
      <c r="A115" s="168"/>
      <c r="B115" s="169"/>
      <c r="C115" s="169"/>
    </row>
    <row r="116" spans="1:3" x14ac:dyDescent="0.35">
      <c r="A116" s="168"/>
      <c r="B116" s="169"/>
      <c r="C116" s="169"/>
    </row>
    <row r="117" spans="1:3" x14ac:dyDescent="0.35">
      <c r="A117" s="168"/>
      <c r="B117" s="169"/>
      <c r="C117" s="169"/>
    </row>
    <row r="118" spans="1:3" x14ac:dyDescent="0.35">
      <c r="A118" s="168"/>
      <c r="B118" s="169"/>
      <c r="C118" s="169"/>
    </row>
    <row r="119" spans="1:3" x14ac:dyDescent="0.35">
      <c r="A119" s="168"/>
      <c r="B119" s="169"/>
      <c r="C119" s="169"/>
    </row>
    <row r="120" spans="1:3" x14ac:dyDescent="0.35">
      <c r="A120" s="168"/>
      <c r="B120" s="169"/>
      <c r="C120" s="169"/>
    </row>
    <row r="121" spans="1:3" x14ac:dyDescent="0.35">
      <c r="A121" s="168"/>
      <c r="B121" s="169"/>
      <c r="C121" s="169"/>
    </row>
    <row r="122" spans="1:3" x14ac:dyDescent="0.35">
      <c r="A122" s="168"/>
      <c r="B122" s="169"/>
      <c r="C122" s="169"/>
    </row>
    <row r="123" spans="1:3" x14ac:dyDescent="0.35">
      <c r="A123" s="168"/>
      <c r="B123" s="169"/>
      <c r="C123" s="169"/>
    </row>
    <row r="124" spans="1:3" x14ac:dyDescent="0.35">
      <c r="A124" s="168"/>
      <c r="B124" s="169"/>
      <c r="C124" s="169"/>
    </row>
    <row r="125" spans="1:3" x14ac:dyDescent="0.35">
      <c r="A125" s="168"/>
      <c r="B125" s="169"/>
      <c r="C125" s="169"/>
    </row>
    <row r="126" spans="1:3" x14ac:dyDescent="0.35">
      <c r="A126" s="168"/>
      <c r="B126" s="169"/>
      <c r="C126" s="169"/>
    </row>
    <row r="127" spans="1:3" x14ac:dyDescent="0.35">
      <c r="A127" s="168"/>
      <c r="B127" s="169"/>
      <c r="C127" s="169"/>
    </row>
    <row r="128" spans="1:3" x14ac:dyDescent="0.35">
      <c r="A128" s="168"/>
      <c r="B128" s="169"/>
      <c r="C128" s="169"/>
    </row>
    <row r="129" spans="1:3" x14ac:dyDescent="0.35">
      <c r="A129" s="168"/>
      <c r="B129" s="169"/>
      <c r="C129" s="169"/>
    </row>
    <row r="130" spans="1:3" x14ac:dyDescent="0.35">
      <c r="A130" s="168"/>
      <c r="B130" s="169"/>
      <c r="C130" s="169"/>
    </row>
    <row r="131" spans="1:3" x14ac:dyDescent="0.35">
      <c r="A131" s="168"/>
      <c r="B131" s="169"/>
      <c r="C131" s="169"/>
    </row>
    <row r="132" spans="1:3" x14ac:dyDescent="0.35">
      <c r="A132" s="168"/>
      <c r="B132" s="169"/>
      <c r="C132" s="169"/>
    </row>
    <row r="133" spans="1:3" x14ac:dyDescent="0.35">
      <c r="A133" s="168"/>
      <c r="B133" s="169"/>
      <c r="C133" s="169"/>
    </row>
    <row r="134" spans="1:3" x14ac:dyDescent="0.35">
      <c r="A134" s="168"/>
      <c r="B134" s="169"/>
      <c r="C134" s="169"/>
    </row>
    <row r="135" spans="1:3" x14ac:dyDescent="0.35">
      <c r="A135" s="168"/>
      <c r="B135" s="169"/>
      <c r="C135" s="169"/>
    </row>
    <row r="136" spans="1:3" x14ac:dyDescent="0.35">
      <c r="A136" s="168"/>
      <c r="B136" s="169"/>
      <c r="C136" s="169"/>
    </row>
    <row r="137" spans="1:3" x14ac:dyDescent="0.35">
      <c r="A137" s="168"/>
      <c r="B137" s="169"/>
      <c r="C137" s="169"/>
    </row>
    <row r="138" spans="1:3" x14ac:dyDescent="0.35">
      <c r="A138" s="168"/>
      <c r="B138" s="169"/>
      <c r="C138" s="169"/>
    </row>
    <row r="139" spans="1:3" x14ac:dyDescent="0.35">
      <c r="A139" s="168"/>
      <c r="B139" s="169"/>
      <c r="C139" s="169"/>
    </row>
    <row r="140" spans="1:3" x14ac:dyDescent="0.35">
      <c r="A140" s="168"/>
      <c r="B140" s="169"/>
      <c r="C140" s="169"/>
    </row>
    <row r="141" spans="1:3" x14ac:dyDescent="0.35">
      <c r="A141" s="168"/>
      <c r="B141" s="169"/>
      <c r="C141" s="169"/>
    </row>
    <row r="142" spans="1:3" x14ac:dyDescent="0.35">
      <c r="A142" s="168"/>
      <c r="B142" s="169"/>
      <c r="C142" s="169"/>
    </row>
    <row r="143" spans="1:3" x14ac:dyDescent="0.35">
      <c r="A143" s="168"/>
      <c r="B143" s="169"/>
      <c r="C143" s="169"/>
    </row>
    <row r="144" spans="1:3" x14ac:dyDescent="0.35">
      <c r="A144" s="168"/>
      <c r="B144" s="169"/>
      <c r="C144" s="169"/>
    </row>
    <row r="145" spans="1:4" x14ac:dyDescent="0.35">
      <c r="A145" s="168"/>
      <c r="B145" s="169"/>
      <c r="C145" s="169"/>
    </row>
    <row r="146" spans="1:4" x14ac:dyDescent="0.35">
      <c r="A146" s="168"/>
      <c r="B146" s="169"/>
      <c r="C146" s="169"/>
    </row>
    <row r="147" spans="1:4" x14ac:dyDescent="0.35">
      <c r="A147" s="168"/>
      <c r="B147" s="169"/>
      <c r="C147" s="169"/>
    </row>
    <row r="148" spans="1:4" x14ac:dyDescent="0.35">
      <c r="A148" s="168"/>
      <c r="B148" s="169"/>
      <c r="C148" s="169"/>
    </row>
    <row r="149" spans="1:4" x14ac:dyDescent="0.35">
      <c r="A149" s="168"/>
      <c r="B149" s="169"/>
      <c r="C149" s="169"/>
    </row>
    <row r="150" spans="1:4" x14ac:dyDescent="0.35">
      <c r="A150" s="168"/>
      <c r="B150" s="169"/>
      <c r="C150" s="169"/>
    </row>
    <row r="151" spans="1:4" x14ac:dyDescent="0.35">
      <c r="A151" s="168"/>
      <c r="B151" s="169"/>
      <c r="C151" s="169"/>
    </row>
    <row r="152" spans="1:4" x14ac:dyDescent="0.35">
      <c r="A152" s="168"/>
      <c r="B152" s="169"/>
      <c r="C152" s="169"/>
    </row>
    <row r="153" spans="1:4" x14ac:dyDescent="0.35">
      <c r="A153" s="168"/>
      <c r="B153" s="169"/>
      <c r="C153" s="169"/>
    </row>
    <row r="154" spans="1:4" ht="15" thickBot="1" x14ac:dyDescent="0.4">
      <c r="A154" s="170"/>
      <c r="B154" s="171"/>
      <c r="C154" s="171"/>
    </row>
    <row r="160" spans="1:4" ht="15" thickBot="1" x14ac:dyDescent="0.4">
      <c r="A160" s="196"/>
      <c r="B160" s="196"/>
      <c r="C160" s="196"/>
      <c r="D160" s="10"/>
    </row>
  </sheetData>
  <conditionalFormatting sqref="K20 P19">
    <cfRule type="cellIs" dxfId="1" priority="3" operator="greaterThanOrEqual">
      <formula>$I$14</formula>
    </cfRule>
    <cfRule type="cellIs" dxfId="0" priority="4" operator="lessThan">
      <formula>$I$14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F5F8A-388C-446C-9C86-BAF0CAA12355}">
  <dimension ref="B1:Q21"/>
  <sheetViews>
    <sheetView zoomScaleNormal="100" workbookViewId="0"/>
  </sheetViews>
  <sheetFormatPr defaultRowHeight="14.5" x14ac:dyDescent="0.35"/>
  <cols>
    <col min="1" max="1" width="4.26953125" customWidth="1"/>
    <col min="2" max="2" width="21.26953125" customWidth="1"/>
    <col min="3" max="3" width="9.81640625" customWidth="1"/>
    <col min="5" max="5" width="0.26953125" customWidth="1"/>
    <col min="6" max="6" width="12" customWidth="1"/>
    <col min="7" max="7" width="19.453125" customWidth="1"/>
    <col min="8" max="8" width="9.453125" customWidth="1"/>
    <col min="9" max="9" width="10.54296875" customWidth="1"/>
    <col min="10" max="10" width="7.453125" customWidth="1"/>
    <col min="11" max="11" width="9.81640625" customWidth="1"/>
    <col min="13" max="13" width="12.81640625" customWidth="1"/>
  </cols>
  <sheetData>
    <row r="1" spans="2:17" s="203" customFormat="1" ht="23.5" x14ac:dyDescent="0.55000000000000004">
      <c r="D1" s="205" t="s">
        <v>40</v>
      </c>
      <c r="E1" s="205"/>
      <c r="J1" s="205"/>
    </row>
    <row r="3" spans="2:17" x14ac:dyDescent="0.35">
      <c r="B3" s="42"/>
      <c r="C3" s="7"/>
      <c r="D3" s="73" t="s">
        <v>51</v>
      </c>
      <c r="E3" s="73"/>
      <c r="F3" s="6"/>
      <c r="G3" s="8"/>
    </row>
    <row r="4" spans="2:17" x14ac:dyDescent="0.35">
      <c r="B4" s="18" t="s">
        <v>52</v>
      </c>
      <c r="C4" s="69">
        <v>95</v>
      </c>
      <c r="D4" s="10" t="s">
        <v>37</v>
      </c>
      <c r="E4" s="10"/>
      <c r="F4" s="12" t="s">
        <v>55</v>
      </c>
      <c r="G4" s="98">
        <f>(100-C4)/100</f>
        <v>0.05</v>
      </c>
      <c r="Q4" s="57"/>
    </row>
    <row r="5" spans="2:17" x14ac:dyDescent="0.35">
      <c r="B5" s="18" t="s">
        <v>65</v>
      </c>
      <c r="C5" s="102">
        <v>0.71</v>
      </c>
      <c r="D5" s="58" t="str">
        <f>IF(AND($C$5 &lt;= 1, $C$5 &gt;= 0), "", "Error: P Must be 0 - 1")</f>
        <v/>
      </c>
      <c r="E5" s="58"/>
      <c r="F5" s="10"/>
      <c r="G5" s="11"/>
      <c r="Q5" s="2"/>
    </row>
    <row r="6" spans="2:17" x14ac:dyDescent="0.35">
      <c r="B6" s="19" t="s">
        <v>25</v>
      </c>
      <c r="C6" s="70">
        <v>450</v>
      </c>
      <c r="D6" s="14" t="str">
        <f>IF(AND(ISNUMBER(n),n&gt;1),"","Error: Must be number &gt; 1.")</f>
        <v/>
      </c>
      <c r="E6" s="14"/>
      <c r="F6" s="15"/>
      <c r="G6" s="16"/>
    </row>
    <row r="7" spans="2:17" x14ac:dyDescent="0.35">
      <c r="B7" s="53"/>
      <c r="C7" s="53"/>
      <c r="D7" s="53"/>
      <c r="E7" s="53"/>
      <c r="F7" s="53"/>
      <c r="G7" s="53"/>
    </row>
    <row r="8" spans="2:17" x14ac:dyDescent="0.35">
      <c r="B8" s="30"/>
      <c r="C8" s="31" t="s">
        <v>38</v>
      </c>
      <c r="D8" s="32"/>
      <c r="E8" s="32"/>
      <c r="F8" s="32"/>
      <c r="G8" s="33"/>
    </row>
    <row r="9" spans="2:17" x14ac:dyDescent="0.35">
      <c r="B9" s="67"/>
      <c r="C9" s="65"/>
      <c r="D9" s="64"/>
      <c r="E9" s="64"/>
      <c r="F9" s="64"/>
      <c r="G9" s="66"/>
    </row>
    <row r="10" spans="2:17" x14ac:dyDescent="0.35">
      <c r="B10" s="67"/>
      <c r="C10" s="65"/>
      <c r="D10" s="64"/>
      <c r="E10" s="64"/>
      <c r="F10" s="64"/>
      <c r="G10" s="66"/>
    </row>
    <row r="11" spans="2:17" x14ac:dyDescent="0.35">
      <c r="B11" s="67"/>
      <c r="C11" s="65"/>
      <c r="D11" s="64"/>
      <c r="E11" s="64"/>
      <c r="F11" s="64"/>
      <c r="G11" s="66"/>
    </row>
    <row r="12" spans="2:17" x14ac:dyDescent="0.35">
      <c r="B12" s="67"/>
      <c r="C12" s="65"/>
      <c r="D12" s="64"/>
      <c r="E12" s="64"/>
      <c r="F12" s="64"/>
      <c r="G12" s="66"/>
    </row>
    <row r="13" spans="2:17" x14ac:dyDescent="0.35">
      <c r="B13" s="9"/>
      <c r="C13" s="18" t="s">
        <v>49</v>
      </c>
      <c r="D13" s="61">
        <f>MAX(p-me,0)</f>
        <v>0.66807529576912328</v>
      </c>
      <c r="E13" s="64">
        <v>1</v>
      </c>
      <c r="F13" s="75" t="str">
        <f ca="1">_xlfn.FORMULATEXT(D13)</f>
        <v>=MAX(p-me,0)</v>
      </c>
      <c r="G13" s="11"/>
    </row>
    <row r="14" spans="2:17" x14ac:dyDescent="0.35">
      <c r="B14" s="9"/>
      <c r="C14" s="18" t="s">
        <v>50</v>
      </c>
      <c r="D14" s="61">
        <f>p</f>
        <v>0.71</v>
      </c>
      <c r="E14" s="74">
        <v>1</v>
      </c>
      <c r="F14" s="75" t="str">
        <f ca="1">_xlfn.FORMULATEXT(D14)</f>
        <v>=p</v>
      </c>
      <c r="G14" s="46"/>
    </row>
    <row r="15" spans="2:17" x14ac:dyDescent="0.35">
      <c r="B15" s="9"/>
      <c r="C15" s="18" t="s">
        <v>48</v>
      </c>
      <c r="D15" s="61">
        <f>MIN(p+me,1)</f>
        <v>0.75192470423087665</v>
      </c>
      <c r="E15" s="64">
        <v>1</v>
      </c>
      <c r="F15" s="75" t="str">
        <f ca="1">_xlfn.FORMULATEXT(D15)</f>
        <v>=MIN(p+me,1)</v>
      </c>
      <c r="G15" s="62"/>
    </row>
    <row r="16" spans="2:17" x14ac:dyDescent="0.35">
      <c r="B16" s="13"/>
      <c r="C16" s="19" t="s">
        <v>63</v>
      </c>
      <c r="D16" s="68">
        <f>Z_critical*se</f>
        <v>4.1924704230876686E-2</v>
      </c>
      <c r="E16" s="68"/>
      <c r="F16" s="76" t="str">
        <f ca="1">_xlfn.FORMULATEXT(D16)</f>
        <v>=Z_critical*se</v>
      </c>
      <c r="G16" s="28"/>
    </row>
    <row r="18" spans="3:7" x14ac:dyDescent="0.35">
      <c r="C18" s="38"/>
      <c r="D18" s="59" t="s">
        <v>24</v>
      </c>
      <c r="E18" s="59"/>
      <c r="F18" s="5"/>
    </row>
    <row r="19" spans="3:7" x14ac:dyDescent="0.35">
      <c r="C19" s="9"/>
      <c r="D19" s="12" t="s">
        <v>41</v>
      </c>
      <c r="E19" s="12"/>
      <c r="F19" s="71">
        <f>SQRT(p*(1-p)/n)</f>
        <v>2.1390548276179262E-2</v>
      </c>
      <c r="G19" s="77" t="str">
        <f ca="1">_xlfn.FORMULATEXT(F19)</f>
        <v>=SQRT(p*(1-p)/n)</v>
      </c>
    </row>
    <row r="20" spans="3:7" x14ac:dyDescent="0.35">
      <c r="C20" s="9"/>
      <c r="D20" s="12" t="s">
        <v>43</v>
      </c>
      <c r="E20" s="12"/>
      <c r="F20" s="46" t="s">
        <v>54</v>
      </c>
      <c r="G20" s="77"/>
    </row>
    <row r="21" spans="3:7" ht="16.5" x14ac:dyDescent="0.45">
      <c r="C21" s="63"/>
      <c r="D21" s="27" t="s">
        <v>53</v>
      </c>
      <c r="E21" s="27"/>
      <c r="F21" s="72">
        <f>ABS(_xlfn.NORM.S.INV(alpha/2))</f>
        <v>1.9599639845400538</v>
      </c>
      <c r="G21" s="77" t="str">
        <f ca="1">_xlfn.FORMULATEXT(F21)</f>
        <v>=ABS(NORM.S.INV(alpha/2))</v>
      </c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croll Bar 1">
              <controlPr defaultSize="0" autoPict="0">
                <anchor moveWithCells="1">
                  <from>
                    <xdr:col>3</xdr:col>
                    <xdr:colOff>152400</xdr:colOff>
                    <xdr:row>3</xdr:row>
                    <xdr:rowOff>31750</xdr:rowOff>
                  </from>
                  <to>
                    <xdr:col>3</xdr:col>
                    <xdr:colOff>476250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15C0-3D30-43E4-A8DF-4AE22B643248}">
  <dimension ref="B1:T32"/>
  <sheetViews>
    <sheetView zoomScaleNormal="100" workbookViewId="0"/>
  </sheetViews>
  <sheetFormatPr defaultRowHeight="14.5" x14ac:dyDescent="0.35"/>
  <cols>
    <col min="1" max="1" width="4.54296875" customWidth="1"/>
    <col min="2" max="2" width="9.54296875" customWidth="1"/>
    <col min="3" max="3" width="12.453125" customWidth="1"/>
    <col min="4" max="4" width="12" customWidth="1"/>
    <col min="5" max="5" width="0.453125" customWidth="1"/>
    <col min="6" max="6" width="7.81640625" customWidth="1"/>
    <col min="7" max="7" width="2.26953125" customWidth="1"/>
    <col min="8" max="8" width="10.81640625" customWidth="1"/>
    <col min="9" max="9" width="13" customWidth="1"/>
    <col min="10" max="10" width="6.81640625" customWidth="1"/>
    <col min="11" max="11" width="15" customWidth="1"/>
    <col min="12" max="12" width="8.453125" customWidth="1"/>
    <col min="15" max="15" width="14" customWidth="1"/>
    <col min="16" max="16" width="3.81640625" customWidth="1"/>
    <col min="17" max="17" width="11.26953125" customWidth="1"/>
    <col min="18" max="18" width="9" customWidth="1"/>
  </cols>
  <sheetData>
    <row r="1" spans="2:20" s="203" customFormat="1" ht="21" x14ac:dyDescent="0.5">
      <c r="F1" s="204" t="s">
        <v>39</v>
      </c>
    </row>
    <row r="3" spans="2:20" x14ac:dyDescent="0.35">
      <c r="B3" s="36"/>
      <c r="C3" s="39"/>
      <c r="D3" s="40" t="s">
        <v>51</v>
      </c>
      <c r="E3" s="41"/>
      <c r="F3" s="41"/>
      <c r="G3" s="41"/>
      <c r="H3" s="41"/>
      <c r="I3" s="37"/>
    </row>
    <row r="4" spans="2:20" x14ac:dyDescent="0.35">
      <c r="B4" s="9"/>
      <c r="C4" s="12" t="s">
        <v>56</v>
      </c>
      <c r="D4" s="69">
        <v>95</v>
      </c>
      <c r="E4" s="10"/>
      <c r="F4" s="10" t="s">
        <v>37</v>
      </c>
      <c r="G4" s="10"/>
      <c r="H4" s="12" t="s">
        <v>55</v>
      </c>
      <c r="I4" s="50">
        <f>(100-$D$4)/100</f>
        <v>0.05</v>
      </c>
    </row>
    <row r="5" spans="2:20" x14ac:dyDescent="0.35">
      <c r="B5" s="9"/>
      <c r="C5" s="18" t="s">
        <v>64</v>
      </c>
      <c r="D5" s="102">
        <v>4.1630000000000003</v>
      </c>
      <c r="E5" s="58" t="str">
        <f>IF(ISNUMBER($D$5),"","Error: Must be a number.")</f>
        <v/>
      </c>
      <c r="F5" s="58"/>
      <c r="G5" s="58"/>
      <c r="H5" s="12"/>
      <c r="I5" s="50"/>
    </row>
    <row r="6" spans="2:20" x14ac:dyDescent="0.35">
      <c r="B6" s="9"/>
      <c r="C6" s="18" t="s">
        <v>25</v>
      </c>
      <c r="D6" s="70">
        <v>3649</v>
      </c>
      <c r="E6" s="10"/>
      <c r="F6" s="58"/>
      <c r="G6" s="58" t="str">
        <f>IF(AND(ISNUMBER($D$6),$D$6&gt;1),"","Error: Must be number &gt; 1.")</f>
        <v/>
      </c>
      <c r="H6" s="10"/>
      <c r="I6" s="11"/>
    </row>
    <row r="7" spans="2:20" x14ac:dyDescent="0.35">
      <c r="B7" s="9"/>
      <c r="C7" s="12" t="s">
        <v>57</v>
      </c>
      <c r="D7" s="10"/>
      <c r="E7" s="10"/>
      <c r="F7" s="10"/>
      <c r="G7" s="10" t="s">
        <v>32</v>
      </c>
      <c r="H7" s="10"/>
      <c r="I7" s="11"/>
    </row>
    <row r="8" spans="2:20" x14ac:dyDescent="0.35">
      <c r="B8" s="13"/>
      <c r="C8" s="27" t="str">
        <f>IF(C26=1,"Population St. Dev.:","Sample St. Dev.")</f>
        <v>Sample St. Dev.</v>
      </c>
      <c r="D8" s="102">
        <v>2.1930000000000001</v>
      </c>
      <c r="E8" s="44" t="str">
        <f>IF(AND(ISNUMBER(D8), D8&gt;0),"","Error: Must be positive number.")</f>
        <v/>
      </c>
      <c r="F8" s="44"/>
      <c r="G8" s="44"/>
      <c r="H8" s="44"/>
      <c r="I8" s="16"/>
    </row>
    <row r="9" spans="2:20" x14ac:dyDescent="0.35">
      <c r="B9" s="53"/>
      <c r="C9" s="54"/>
      <c r="D9" s="79"/>
      <c r="E9" s="53"/>
      <c r="F9" s="53"/>
      <c r="G9" s="53"/>
      <c r="H9" s="53"/>
      <c r="I9" s="53"/>
      <c r="S9" s="57"/>
    </row>
    <row r="10" spans="2:20" x14ac:dyDescent="0.35">
      <c r="B10" s="30"/>
      <c r="C10" s="31" t="s">
        <v>38</v>
      </c>
      <c r="D10" s="32"/>
      <c r="E10" s="32"/>
      <c r="F10" s="32"/>
      <c r="G10" s="32"/>
      <c r="H10" s="32"/>
      <c r="I10" s="33"/>
      <c r="J10" s="53"/>
      <c r="T10" s="2"/>
    </row>
    <row r="11" spans="2:20" x14ac:dyDescent="0.35">
      <c r="B11" s="9"/>
      <c r="C11" s="47"/>
      <c r="D11" s="10"/>
      <c r="E11" s="10"/>
      <c r="F11" s="10"/>
      <c r="G11" s="10"/>
      <c r="H11" s="10"/>
      <c r="I11" s="11"/>
      <c r="J11" s="53"/>
    </row>
    <row r="12" spans="2:20" x14ac:dyDescent="0.35">
      <c r="B12" s="9"/>
      <c r="C12" s="47"/>
      <c r="D12" s="10"/>
      <c r="E12" s="10"/>
      <c r="F12" s="10"/>
      <c r="G12" s="10"/>
      <c r="H12" s="10"/>
      <c r="I12" s="11"/>
      <c r="J12" s="53"/>
    </row>
    <row r="13" spans="2:20" ht="17" x14ac:dyDescent="0.4">
      <c r="B13" s="55"/>
      <c r="C13" s="45"/>
      <c r="D13" s="56"/>
      <c r="E13" s="56"/>
      <c r="F13" s="56"/>
      <c r="G13" s="56"/>
      <c r="H13" s="45"/>
      <c r="I13" s="46"/>
      <c r="J13" s="53"/>
    </row>
    <row r="14" spans="2:20" x14ac:dyDescent="0.35">
      <c r="B14" s="9"/>
      <c r="C14" s="51"/>
      <c r="D14" s="10"/>
      <c r="E14" s="52"/>
      <c r="F14" s="52"/>
      <c r="G14" s="52"/>
      <c r="H14" s="52"/>
      <c r="I14" s="11"/>
      <c r="J14" s="53"/>
    </row>
    <row r="15" spans="2:20" x14ac:dyDescent="0.35">
      <c r="B15" s="9"/>
      <c r="C15" s="12" t="s">
        <v>49</v>
      </c>
      <c r="D15" s="61">
        <f>mean-me</f>
        <v>4.0918223069277344</v>
      </c>
      <c r="E15" s="83">
        <v>1</v>
      </c>
      <c r="F15" s="84" t="str">
        <f ca="1">_xlfn.FORMULATEXT(D15)</f>
        <v>=mean-me</v>
      </c>
      <c r="G15" s="82"/>
      <c r="H15" s="52"/>
      <c r="I15" s="50"/>
      <c r="J15" s="53"/>
    </row>
    <row r="16" spans="2:20" x14ac:dyDescent="0.35">
      <c r="B16" s="9"/>
      <c r="C16" s="12" t="s">
        <v>50</v>
      </c>
      <c r="D16" s="61">
        <f>mean</f>
        <v>4.1630000000000003</v>
      </c>
      <c r="E16" s="83">
        <v>1</v>
      </c>
      <c r="F16" s="84" t="str">
        <f t="shared" ref="F16:F18" ca="1" si="0">_xlfn.FORMULATEXT(D16)</f>
        <v>=mean</v>
      </c>
      <c r="G16" s="82"/>
      <c r="H16" s="52"/>
      <c r="I16" s="50"/>
    </row>
    <row r="17" spans="2:10" x14ac:dyDescent="0.35">
      <c r="B17" s="9"/>
      <c r="C17" s="12" t="s">
        <v>48</v>
      </c>
      <c r="D17" s="61">
        <f>mean+me</f>
        <v>4.2341776930722661</v>
      </c>
      <c r="E17" s="83">
        <v>1</v>
      </c>
      <c r="F17" s="84" t="str">
        <f t="shared" ca="1" si="0"/>
        <v>=mean+me</v>
      </c>
      <c r="G17" s="82"/>
      <c r="H17" s="52"/>
      <c r="I17" s="50"/>
      <c r="J17" s="1"/>
    </row>
    <row r="18" spans="2:10" x14ac:dyDescent="0.35">
      <c r="B18" s="13"/>
      <c r="C18" s="27" t="s">
        <v>63</v>
      </c>
      <c r="D18" s="68">
        <f>IF(pop_sd_known,conf.norm,conf.t)</f>
        <v>7.1177693072266138E-2</v>
      </c>
      <c r="E18" s="24"/>
      <c r="F18" s="88" t="str">
        <f t="shared" ca="1" si="0"/>
        <v>=IF(pop_sd_known,conf.norm,conf.t)</v>
      </c>
      <c r="G18" s="24"/>
      <c r="H18" s="24"/>
      <c r="I18" s="28"/>
    </row>
    <row r="19" spans="2:10" x14ac:dyDescent="0.35">
      <c r="C19" s="1"/>
      <c r="D19" s="89"/>
    </row>
    <row r="20" spans="2:10" x14ac:dyDescent="0.35">
      <c r="B20" s="93"/>
      <c r="C20" s="94" t="s">
        <v>60</v>
      </c>
      <c r="D20" s="95"/>
    </row>
    <row r="21" spans="2:10" x14ac:dyDescent="0.35">
      <c r="B21" s="80"/>
      <c r="C21" s="91" t="s">
        <v>61</v>
      </c>
      <c r="D21" s="99">
        <f>_xlfn.CONFIDENCE.NORM(alpha,stdev,n)</f>
        <v>7.11540772610392E-2</v>
      </c>
      <c r="F21" s="84" t="str">
        <f ca="1">_xlfn.FORMULATEXT(D21)</f>
        <v>=CONFIDENCE.NORM(alpha,stdev,n)</v>
      </c>
    </row>
    <row r="22" spans="2:10" x14ac:dyDescent="0.35">
      <c r="B22" s="81"/>
      <c r="C22" s="92" t="s">
        <v>62</v>
      </c>
      <c r="D22" s="99">
        <f>_xlfn.CONFIDENCE.T(alpha,stdev,n)</f>
        <v>7.1177693072266138E-2</v>
      </c>
      <c r="F22" s="84" t="str">
        <f ca="1">_xlfn.FORMULATEXT(D22)</f>
        <v>=CONFIDENCE.T(alpha,stdev,n)</v>
      </c>
    </row>
    <row r="24" spans="2:10" x14ac:dyDescent="0.35">
      <c r="B24" s="96" t="s">
        <v>58</v>
      </c>
      <c r="C24" s="97"/>
    </row>
    <row r="25" spans="2:10" x14ac:dyDescent="0.35">
      <c r="B25" s="18" t="s">
        <v>31</v>
      </c>
      <c r="C25" s="85" t="str">
        <f>IF(C26=1,"TRUE","FALSE")</f>
        <v>FALSE</v>
      </c>
    </row>
    <row r="26" spans="2:10" x14ac:dyDescent="0.35">
      <c r="B26" s="86" t="s">
        <v>59</v>
      </c>
      <c r="C26" s="87">
        <v>2</v>
      </c>
    </row>
    <row r="28" spans="2:10" x14ac:dyDescent="0.35">
      <c r="B28" s="38"/>
      <c r="C28" s="59" t="s">
        <v>24</v>
      </c>
      <c r="D28" s="90"/>
      <c r="E28" s="53"/>
      <c r="F28" s="53"/>
    </row>
    <row r="29" spans="2:10" x14ac:dyDescent="0.35">
      <c r="B29" s="9"/>
      <c r="C29" s="12" t="s">
        <v>42</v>
      </c>
      <c r="D29" s="71">
        <f>stdev/SQRT(n)</f>
        <v>3.6303767733638734E-2</v>
      </c>
      <c r="F29" s="84" t="str">
        <f ca="1">_xlfn.FORMULATEXT(D29)</f>
        <v>=stdev/SQRT(n)</v>
      </c>
      <c r="G29" s="60"/>
    </row>
    <row r="30" spans="2:10" x14ac:dyDescent="0.35">
      <c r="B30" s="9"/>
      <c r="C30" s="12" t="s">
        <v>43</v>
      </c>
      <c r="D30" s="50" t="str">
        <f>IF(pop_sd_known,"N(0,1)",_xlfn.CONCAT("T(",n-1,"df)"))</f>
        <v>T(3648df)</v>
      </c>
      <c r="F30" s="84" t="str">
        <f ca="1">_xlfn.FORMULATEXT(D30)</f>
        <v>=IF(pop_sd_known,"N(0,1)",CONCAT("T(",n-1,"df)"))</v>
      </c>
      <c r="G30" s="54"/>
    </row>
    <row r="31" spans="2:10" x14ac:dyDescent="0.35">
      <c r="B31" s="13"/>
      <c r="C31" s="27" t="str">
        <f>IF($C$26=2,"Critical value |Tα/2|"," Critical value|Zα/2|")</f>
        <v>Critical value |Tα/2|</v>
      </c>
      <c r="D31" s="72">
        <f>IF(pop_sd_known,ABS(_xlfn.NORM.S.INV(alpha/2)),ABS(_xlfn.T.INV.2T(alpha,n-1)))</f>
        <v>1.9606144903332872</v>
      </c>
    </row>
    <row r="32" spans="2:10" x14ac:dyDescent="0.35">
      <c r="D32" s="100" t="str">
        <f ca="1">_xlfn.FORMULATEXT(D31)</f>
        <v>=IF(pop_sd_known,ABS(NORM.S.INV(alpha/2)),ABS(T.INV.2T(alpha,n-1)))</v>
      </c>
    </row>
  </sheetData>
  <pageMargins left="0.7" right="0.7" top="0.75" bottom="0.75" header="0.3" footer="0.3"/>
  <pageSetup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5" r:id="rId4" name="Scroll Bar 5">
              <controlPr defaultSize="0" autoPict="0">
                <anchor moveWithCells="1">
                  <from>
                    <xdr:col>5</xdr:col>
                    <xdr:colOff>19050</xdr:colOff>
                    <xdr:row>5</xdr:row>
                    <xdr:rowOff>19050</xdr:rowOff>
                  </from>
                  <to>
                    <xdr:col>5</xdr:col>
                    <xdr:colOff>508000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5" name="Spinner 7">
              <controlPr defaultSize="0" autoPict="0">
                <anchor moveWithCells="1" sizeWithCells="1">
                  <from>
                    <xdr:col>5</xdr:col>
                    <xdr:colOff>146050</xdr:colOff>
                    <xdr:row>3</xdr:row>
                    <xdr:rowOff>31750</xdr:rowOff>
                  </from>
                  <to>
                    <xdr:col>5</xdr:col>
                    <xdr:colOff>317500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6" name="Option Button 9">
              <controlPr defaultSize="0" autoFill="0" autoLine="0" autoPict="0">
                <anchor moveWithCells="1">
                  <from>
                    <xdr:col>3</xdr:col>
                    <xdr:colOff>31750</xdr:colOff>
                    <xdr:row>5</xdr:row>
                    <xdr:rowOff>171450</xdr:rowOff>
                  </from>
                  <to>
                    <xdr:col>3</xdr:col>
                    <xdr:colOff>488950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7" name="Option Button 10">
              <controlPr defaultSize="0" autoFill="0" autoLine="0" autoPict="0">
                <anchor moveWithCells="1">
                  <from>
                    <xdr:col>5</xdr:col>
                    <xdr:colOff>0</xdr:colOff>
                    <xdr:row>6</xdr:row>
                    <xdr:rowOff>0</xdr:rowOff>
                  </from>
                  <to>
                    <xdr:col>6</xdr:col>
                    <xdr:colOff>31750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FA8FB-C34D-44CB-BBD4-D0BA54940E9C}">
  <dimension ref="B1:R25"/>
  <sheetViews>
    <sheetView workbookViewId="0">
      <selection activeCell="A2" sqref="A2"/>
    </sheetView>
  </sheetViews>
  <sheetFormatPr defaultRowHeight="14.5" x14ac:dyDescent="0.35"/>
  <cols>
    <col min="1" max="1" width="7.81640625" customWidth="1"/>
    <col min="2" max="2" width="10.81640625" customWidth="1"/>
    <col min="3" max="3" width="7.81640625" customWidth="1"/>
    <col min="4" max="4" width="9.81640625" customWidth="1"/>
    <col min="6" max="6" width="0.453125" customWidth="1"/>
    <col min="7" max="7" width="16.453125" customWidth="1"/>
    <col min="8" max="8" width="11.54296875" customWidth="1"/>
    <col min="9" max="9" width="9.453125" customWidth="1"/>
    <col min="10" max="10" width="10.54296875" customWidth="1"/>
    <col min="11" max="11" width="7.453125" customWidth="1"/>
    <col min="12" max="12" width="9.81640625" customWidth="1"/>
    <col min="14" max="14" width="12.81640625" customWidth="1"/>
  </cols>
  <sheetData>
    <row r="1" spans="2:18" s="203" customFormat="1" ht="23.5" x14ac:dyDescent="0.55000000000000004">
      <c r="E1" s="204" t="s">
        <v>97</v>
      </c>
      <c r="F1" s="205"/>
      <c r="K1" s="205"/>
    </row>
    <row r="3" spans="2:18" x14ac:dyDescent="0.35">
      <c r="B3" s="134"/>
      <c r="C3" s="7"/>
      <c r="D3" s="7"/>
      <c r="E3" s="73" t="s">
        <v>51</v>
      </c>
      <c r="F3" s="73"/>
      <c r="G3" s="6"/>
      <c r="H3" s="8"/>
    </row>
    <row r="4" spans="2:18" x14ac:dyDescent="0.35">
      <c r="B4" s="9"/>
      <c r="C4" s="12" t="s">
        <v>52</v>
      </c>
      <c r="D4" s="69">
        <v>95</v>
      </c>
      <c r="E4" s="10" t="s">
        <v>37</v>
      </c>
      <c r="F4" s="10"/>
      <c r="G4" s="12" t="s">
        <v>11</v>
      </c>
      <c r="H4" s="131">
        <f>(100-D4)/100</f>
        <v>0.05</v>
      </c>
      <c r="R4" s="57"/>
    </row>
    <row r="5" spans="2:18" x14ac:dyDescent="0.35">
      <c r="B5" s="9"/>
      <c r="C5" s="129" t="s">
        <v>6</v>
      </c>
      <c r="D5" s="10"/>
      <c r="E5" s="2"/>
      <c r="F5" s="58"/>
      <c r="G5" s="129" t="s">
        <v>7</v>
      </c>
      <c r="H5" s="11"/>
      <c r="R5" s="2"/>
    </row>
    <row r="6" spans="2:18" ht="16.5" customHeight="1" x14ac:dyDescent="0.45">
      <c r="B6" s="9"/>
      <c r="C6" s="12" t="s">
        <v>12</v>
      </c>
      <c r="D6" s="102">
        <v>0.63500000000000001</v>
      </c>
      <c r="E6" s="58"/>
      <c r="F6" s="58"/>
      <c r="G6" s="12" t="s">
        <v>14</v>
      </c>
      <c r="H6" s="102">
        <v>0.63500000000000001</v>
      </c>
      <c r="I6" t="str">
        <f>IF(AND(p_2 &lt;= 1,p_2 &gt;= 0), "", "Error: p_2 Must be 0 - 1")</f>
        <v/>
      </c>
    </row>
    <row r="7" spans="2:18" ht="15.75" customHeight="1" x14ac:dyDescent="0.45">
      <c r="B7" s="13"/>
      <c r="C7" s="27" t="s">
        <v>13</v>
      </c>
      <c r="D7" s="69">
        <v>135</v>
      </c>
      <c r="E7" s="14"/>
      <c r="F7" s="14"/>
      <c r="G7" s="27" t="s">
        <v>15</v>
      </c>
      <c r="H7" s="69">
        <v>32</v>
      </c>
      <c r="I7" t="str">
        <f>IF(AND(ISNUMBER(n_2),n_2&gt;1),"","Error: n_2 must be number &gt; 1.")</f>
        <v/>
      </c>
    </row>
    <row r="8" spans="2:18" x14ac:dyDescent="0.35">
      <c r="C8" s="53" t="str">
        <f>IF(AND(p_1 &lt;= 1,p_1 &gt;= 0), "", "Error: p_1 Must be 0 - 1")</f>
        <v/>
      </c>
      <c r="D8" s="53"/>
      <c r="E8" s="53" t="str">
        <f>IF(AND(ISNUMBER(n_1),n_1&gt;1),"","Error: n_1 must be number &gt; 1.")</f>
        <v/>
      </c>
      <c r="F8" s="53"/>
      <c r="G8" s="53"/>
      <c r="H8" s="53"/>
    </row>
    <row r="9" spans="2:18" x14ac:dyDescent="0.35">
      <c r="B9" s="30"/>
      <c r="C9" s="32"/>
      <c r="D9" s="31" t="s">
        <v>38</v>
      </c>
      <c r="E9" s="32"/>
      <c r="F9" s="32"/>
      <c r="G9" s="32"/>
      <c r="H9" s="33"/>
    </row>
    <row r="10" spans="2:18" x14ac:dyDescent="0.35">
      <c r="B10" s="9"/>
      <c r="C10" s="64"/>
      <c r="D10" s="65"/>
      <c r="E10" s="64"/>
      <c r="F10" s="64"/>
      <c r="G10" s="64"/>
      <c r="H10" s="66"/>
    </row>
    <row r="11" spans="2:18" x14ac:dyDescent="0.35">
      <c r="B11" s="9"/>
      <c r="C11" s="64"/>
      <c r="D11" s="65"/>
      <c r="E11" s="64"/>
      <c r="F11" s="64"/>
      <c r="G11" s="64"/>
      <c r="H11" s="66"/>
    </row>
    <row r="12" spans="2:18" x14ac:dyDescent="0.35">
      <c r="B12" s="9"/>
      <c r="C12" s="64"/>
      <c r="D12" s="65"/>
      <c r="E12" s="64"/>
      <c r="F12" s="64"/>
      <c r="G12" s="64"/>
      <c r="H12" s="66"/>
    </row>
    <row r="13" spans="2:18" x14ac:dyDescent="0.35">
      <c r="B13" s="9"/>
      <c r="C13" s="64"/>
      <c r="D13" s="65"/>
      <c r="E13" s="64"/>
      <c r="F13" s="64"/>
      <c r="G13" s="64"/>
      <c r="H13" s="66"/>
    </row>
    <row r="14" spans="2:18" x14ac:dyDescent="0.35">
      <c r="B14" s="9"/>
      <c r="C14" s="10"/>
      <c r="D14" s="12" t="s">
        <v>49</v>
      </c>
      <c r="E14" s="61">
        <f>MAX(-1,difference-me)</f>
        <v>-0.18552299556340918</v>
      </c>
      <c r="F14" s="64">
        <v>1</v>
      </c>
      <c r="G14" s="75" t="str">
        <f ca="1">_xlfn.FORMULATEXT(E14)</f>
        <v>=MAX(-1,difference-me)</v>
      </c>
      <c r="H14" s="11"/>
    </row>
    <row r="15" spans="2:18" x14ac:dyDescent="0.35">
      <c r="B15" s="9"/>
      <c r="C15" s="10"/>
      <c r="D15" s="12" t="s">
        <v>50</v>
      </c>
      <c r="E15" s="61">
        <f>difference</f>
        <v>0</v>
      </c>
      <c r="F15" s="74">
        <v>1</v>
      </c>
      <c r="G15" s="75" t="str">
        <f ca="1">_xlfn.FORMULATEXT(E15)</f>
        <v>=difference</v>
      </c>
      <c r="H15" s="46"/>
    </row>
    <row r="16" spans="2:18" x14ac:dyDescent="0.35">
      <c r="B16" s="9"/>
      <c r="C16" s="10"/>
      <c r="D16" s="12" t="s">
        <v>48</v>
      </c>
      <c r="E16" s="61">
        <f>MIN(1,difference+me)</f>
        <v>0.18552299556340918</v>
      </c>
      <c r="F16" s="64">
        <v>1</v>
      </c>
      <c r="G16" s="75" t="str">
        <f ca="1">_xlfn.FORMULATEXT(E16)</f>
        <v>=MIN(1,difference+me)</v>
      </c>
      <c r="H16" s="62"/>
    </row>
    <row r="17" spans="2:8" x14ac:dyDescent="0.35">
      <c r="B17" s="13"/>
      <c r="C17" s="15"/>
      <c r="D17" s="27" t="s">
        <v>63</v>
      </c>
      <c r="E17" s="68">
        <f>Z_critical*se_difference</f>
        <v>0.18552299556340918</v>
      </c>
      <c r="F17" s="68"/>
      <c r="G17" s="76" t="str">
        <f ca="1">_xlfn.FORMULATEXT(E17)</f>
        <v>=Z_critical*se_difference</v>
      </c>
      <c r="H17" s="28"/>
    </row>
    <row r="19" spans="2:8" x14ac:dyDescent="0.35">
      <c r="C19" s="38"/>
      <c r="D19" s="59" t="s">
        <v>24</v>
      </c>
      <c r="E19" s="133"/>
      <c r="F19" s="53"/>
    </row>
    <row r="20" spans="2:8" ht="16.5" x14ac:dyDescent="0.45">
      <c r="C20" s="9"/>
      <c r="D20" s="91" t="s">
        <v>96</v>
      </c>
      <c r="E20" s="99">
        <f>p_1-p_2</f>
        <v>0</v>
      </c>
      <c r="F20" s="53"/>
      <c r="G20" s="77" t="str">
        <f ca="1">_xlfn.FORMULATEXT(E20)</f>
        <v>=p_1-p_2</v>
      </c>
    </row>
    <row r="21" spans="2:8" ht="16.5" x14ac:dyDescent="0.45">
      <c r="C21" s="9"/>
      <c r="D21" s="12" t="s">
        <v>93</v>
      </c>
      <c r="E21" s="99">
        <f>SQRT(p_1*(1-p_1)/n_1)</f>
        <v>4.1434911027439798E-2</v>
      </c>
      <c r="F21" s="53"/>
      <c r="G21" s="77" t="str">
        <f ca="1">_xlfn.FORMULATEXT(E21)</f>
        <v>=SQRT(p_1*(1-p_1)/n_1)</v>
      </c>
    </row>
    <row r="22" spans="2:8" ht="16.5" x14ac:dyDescent="0.45">
      <c r="C22" s="9"/>
      <c r="D22" s="12" t="s">
        <v>94</v>
      </c>
      <c r="E22" s="99">
        <f>SQRT(p_2*(1-p_2)/n_2)</f>
        <v>8.5105632892306257E-2</v>
      </c>
      <c r="F22" s="53"/>
      <c r="G22" s="77" t="str">
        <f ca="1">_xlfn.FORMULATEXT(E22)</f>
        <v>=SQRT(p_2*(1-p_2)/n_2)</v>
      </c>
    </row>
    <row r="23" spans="2:8" ht="16.5" x14ac:dyDescent="0.45">
      <c r="C23" s="9"/>
      <c r="D23" s="12" t="s">
        <v>95</v>
      </c>
      <c r="E23" s="99">
        <f>SQRT(se_1^2+se_2^2)</f>
        <v>9.4656328905424247E-2</v>
      </c>
      <c r="F23" s="53"/>
      <c r="G23" s="77" t="str">
        <f ca="1">_xlfn.FORMULATEXT(E23)</f>
        <v>=SQRT(se_1^2+se_2^2)</v>
      </c>
    </row>
    <row r="24" spans="2:8" x14ac:dyDescent="0.35">
      <c r="C24" s="9"/>
      <c r="D24" s="12" t="s">
        <v>43</v>
      </c>
      <c r="E24" s="46" t="s">
        <v>54</v>
      </c>
      <c r="F24" s="132"/>
      <c r="G24" s="77"/>
    </row>
    <row r="25" spans="2:8" ht="16.5" x14ac:dyDescent="0.45">
      <c r="C25" s="63"/>
      <c r="D25" s="27" t="s">
        <v>53</v>
      </c>
      <c r="E25" s="72">
        <f>ABS(_xlfn.NORM.S.INV(alpha/2))</f>
        <v>1.9599639845400538</v>
      </c>
      <c r="F25" s="53"/>
      <c r="G25" s="77" t="str">
        <f ca="1">_xlfn.FORMULATEXT(E25)</f>
        <v>=ABS(NORM.S.INV(alpha/2))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Scroll Bar 1">
              <controlPr defaultSize="0" autoPict="0">
                <anchor moveWithCells="1">
                  <from>
                    <xdr:col>4</xdr:col>
                    <xdr:colOff>152400</xdr:colOff>
                    <xdr:row>3</xdr:row>
                    <xdr:rowOff>31750</xdr:rowOff>
                  </from>
                  <to>
                    <xdr:col>4</xdr:col>
                    <xdr:colOff>476250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E8175-0942-4541-8DD9-6A7D02969F34}">
  <dimension ref="B1:R31"/>
  <sheetViews>
    <sheetView workbookViewId="0"/>
  </sheetViews>
  <sheetFormatPr defaultRowHeight="14.5" x14ac:dyDescent="0.35"/>
  <cols>
    <col min="1" max="1" width="2.1796875" customWidth="1"/>
    <col min="2" max="2" width="13.26953125" customWidth="1"/>
    <col min="3" max="3" width="15.26953125" customWidth="1"/>
    <col min="4" max="4" width="11.7265625" customWidth="1"/>
    <col min="6" max="6" width="0.453125" customWidth="1"/>
    <col min="7" max="7" width="16.453125" customWidth="1"/>
    <col min="8" max="8" width="12.453125" customWidth="1"/>
    <col min="9" max="9" width="9.453125" customWidth="1"/>
    <col min="10" max="10" width="10.54296875" customWidth="1"/>
    <col min="11" max="11" width="7.453125" customWidth="1"/>
    <col min="12" max="12" width="9.81640625" customWidth="1"/>
    <col min="14" max="14" width="12.81640625" customWidth="1"/>
  </cols>
  <sheetData>
    <row r="1" spans="2:18" s="203" customFormat="1" ht="23.5" x14ac:dyDescent="0.55000000000000004">
      <c r="E1" s="204" t="s">
        <v>157</v>
      </c>
      <c r="F1" s="205"/>
      <c r="K1" s="205"/>
    </row>
    <row r="3" spans="2:18" x14ac:dyDescent="0.35">
      <c r="B3" s="134"/>
      <c r="C3" s="7"/>
      <c r="D3" s="7"/>
      <c r="E3" s="73" t="s">
        <v>51</v>
      </c>
      <c r="F3" s="73"/>
      <c r="G3" s="6"/>
      <c r="H3" s="8"/>
      <c r="I3" s="2"/>
    </row>
    <row r="4" spans="2:18" x14ac:dyDescent="0.35">
      <c r="B4" s="9"/>
      <c r="C4" s="12" t="s">
        <v>52</v>
      </c>
      <c r="D4" s="69">
        <v>95</v>
      </c>
      <c r="E4" s="10" t="s">
        <v>37</v>
      </c>
      <c r="F4" s="10"/>
      <c r="G4" s="12" t="s">
        <v>11</v>
      </c>
      <c r="H4" s="131">
        <f>(100-D4)/100</f>
        <v>0.05</v>
      </c>
      <c r="I4" s="2"/>
      <c r="R4" s="57"/>
    </row>
    <row r="5" spans="2:18" x14ac:dyDescent="0.35">
      <c r="B5" s="9"/>
      <c r="C5" s="129" t="s">
        <v>6</v>
      </c>
      <c r="D5" s="10"/>
      <c r="E5" s="2"/>
      <c r="F5" s="58"/>
      <c r="G5" s="129" t="s">
        <v>7</v>
      </c>
      <c r="H5" s="11"/>
      <c r="I5" s="2"/>
      <c r="R5" s="2"/>
    </row>
    <row r="6" spans="2:18" ht="16.5" customHeight="1" x14ac:dyDescent="0.45">
      <c r="B6" s="9"/>
      <c r="C6" s="12" t="s">
        <v>158</v>
      </c>
      <c r="D6" s="102">
        <v>3.2789999999999999</v>
      </c>
      <c r="E6" s="58"/>
      <c r="F6" s="58"/>
      <c r="G6" s="12" t="s">
        <v>159</v>
      </c>
      <c r="H6" s="102">
        <v>2.5710000000000002</v>
      </c>
      <c r="I6" s="2"/>
    </row>
    <row r="7" spans="2:18" ht="16.5" customHeight="1" x14ac:dyDescent="0.45">
      <c r="B7" s="9"/>
      <c r="C7" s="12" t="s">
        <v>13</v>
      </c>
      <c r="D7" s="69">
        <v>86</v>
      </c>
      <c r="E7" s="58"/>
      <c r="F7" s="58"/>
      <c r="G7" s="12" t="s">
        <v>15</v>
      </c>
      <c r="H7" s="69">
        <v>85</v>
      </c>
      <c r="I7" s="2"/>
    </row>
    <row r="8" spans="2:18" ht="15.75" customHeight="1" x14ac:dyDescent="0.45">
      <c r="B8" s="201"/>
      <c r="C8" s="197"/>
      <c r="D8" s="12" t="s">
        <v>164</v>
      </c>
      <c r="E8" s="197"/>
      <c r="F8" s="197"/>
      <c r="G8" s="197" t="s">
        <v>165</v>
      </c>
      <c r="H8" s="202"/>
      <c r="I8" s="10"/>
    </row>
    <row r="9" spans="2:18" ht="15" customHeight="1" x14ac:dyDescent="0.35">
      <c r="B9" s="13"/>
      <c r="C9" s="27" t="str">
        <f>IF(E31,"Population St. Dev. (σ1)","Sample St. Dev. (sd1)")</f>
        <v>Sample St. Dev. (sd1)</v>
      </c>
      <c r="D9" s="102">
        <v>1.298</v>
      </c>
      <c r="E9" s="14"/>
      <c r="F9" s="14"/>
      <c r="G9" s="27" t="str">
        <f>IF(E31,"Population St. Dev. (σ2)","Sample St. Dev. (sd2)")</f>
        <v>Sample St. Dev. (sd2)</v>
      </c>
      <c r="H9" s="102">
        <v>1.3819999999999999</v>
      </c>
      <c r="I9" s="2"/>
    </row>
    <row r="10" spans="2:18" x14ac:dyDescent="0.35">
      <c r="C10" s="53"/>
      <c r="D10" s="53"/>
      <c r="E10" s="53" t="str">
        <f>IF(AND(ISNUMBER(n_1),n_1&gt;1),"","Error: n_1 must be number &gt; 1.")</f>
        <v/>
      </c>
      <c r="F10" s="53"/>
      <c r="G10" s="53"/>
      <c r="H10" s="53"/>
      <c r="I10" s="2"/>
    </row>
    <row r="11" spans="2:18" x14ac:dyDescent="0.35">
      <c r="B11" s="30"/>
      <c r="C11" s="32"/>
      <c r="D11" s="31" t="s">
        <v>38</v>
      </c>
      <c r="E11" s="32"/>
      <c r="F11" s="32"/>
      <c r="G11" s="32"/>
      <c r="H11" s="33"/>
      <c r="I11" s="2"/>
    </row>
    <row r="12" spans="2:18" x14ac:dyDescent="0.35">
      <c r="B12" s="9"/>
      <c r="C12" s="64"/>
      <c r="D12" s="65"/>
      <c r="E12" s="64"/>
      <c r="F12" s="64"/>
      <c r="G12" s="64"/>
      <c r="H12" s="66"/>
    </row>
    <row r="13" spans="2:18" x14ac:dyDescent="0.35">
      <c r="B13" s="9"/>
      <c r="C13" s="64"/>
      <c r="D13" s="65"/>
      <c r="E13" s="64"/>
      <c r="F13" s="64"/>
      <c r="G13" s="64"/>
      <c r="H13" s="66"/>
    </row>
    <row r="14" spans="2:18" x14ac:dyDescent="0.35">
      <c r="B14" s="9"/>
      <c r="C14" s="64"/>
      <c r="D14" s="65"/>
      <c r="E14" s="64"/>
      <c r="F14" s="64"/>
      <c r="G14" s="64"/>
      <c r="H14" s="66"/>
    </row>
    <row r="15" spans="2:18" x14ac:dyDescent="0.35">
      <c r="B15" s="9"/>
      <c r="C15" s="64"/>
      <c r="D15" s="65"/>
      <c r="E15" s="64"/>
      <c r="F15" s="64"/>
      <c r="G15" s="64"/>
      <c r="H15" s="66"/>
    </row>
    <row r="16" spans="2:18" x14ac:dyDescent="0.35">
      <c r="B16" s="9"/>
      <c r="C16" s="10"/>
      <c r="D16" s="12" t="s">
        <v>49</v>
      </c>
      <c r="E16" s="61">
        <f>difference-me</f>
        <v>0.30312143329988789</v>
      </c>
      <c r="F16" s="64">
        <v>1</v>
      </c>
      <c r="G16" s="75" t="str">
        <f ca="1">_xlfn.FORMULATEXT(E16)</f>
        <v>=difference-me</v>
      </c>
      <c r="H16" s="11"/>
    </row>
    <row r="17" spans="2:8" x14ac:dyDescent="0.35">
      <c r="B17" s="9"/>
      <c r="C17" s="10"/>
      <c r="D17" s="12" t="s">
        <v>50</v>
      </c>
      <c r="E17" s="61">
        <f>difference</f>
        <v>0.70799999999999974</v>
      </c>
      <c r="F17" s="74">
        <v>1</v>
      </c>
      <c r="G17" s="75" t="str">
        <f ca="1">_xlfn.FORMULATEXT(E17)</f>
        <v>=difference</v>
      </c>
      <c r="H17" s="46"/>
    </row>
    <row r="18" spans="2:8" x14ac:dyDescent="0.35">
      <c r="B18" s="9"/>
      <c r="C18" s="10"/>
      <c r="D18" s="12" t="s">
        <v>48</v>
      </c>
      <c r="E18" s="61">
        <f>difference+me</f>
        <v>1.1128785667001115</v>
      </c>
      <c r="F18" s="64">
        <v>1</v>
      </c>
      <c r="G18" s="75" t="str">
        <f ca="1">_xlfn.FORMULATEXT(E18)</f>
        <v>=difference+me</v>
      </c>
      <c r="H18" s="62"/>
    </row>
    <row r="19" spans="2:8" x14ac:dyDescent="0.35">
      <c r="B19" s="13"/>
      <c r="C19" s="15"/>
      <c r="D19" s="27" t="s">
        <v>63</v>
      </c>
      <c r="E19" s="68">
        <f>critical_value*se_difference</f>
        <v>0.40487856670011185</v>
      </c>
      <c r="F19" s="68"/>
      <c r="G19" s="76" t="str">
        <f ca="1">_xlfn.FORMULATEXT(E19)</f>
        <v>=critical_value*se_difference</v>
      </c>
      <c r="H19" s="28"/>
    </row>
    <row r="21" spans="2:8" x14ac:dyDescent="0.35">
      <c r="B21" s="38"/>
      <c r="C21" s="59" t="s">
        <v>24</v>
      </c>
      <c r="D21" s="133"/>
      <c r="E21" s="53"/>
    </row>
    <row r="22" spans="2:8" ht="16.5" x14ac:dyDescent="0.45">
      <c r="B22" s="9"/>
      <c r="C22" s="91" t="s">
        <v>160</v>
      </c>
      <c r="D22" s="99">
        <f>mean_1-mean_2</f>
        <v>0.70799999999999974</v>
      </c>
      <c r="E22" s="77" t="str">
        <f ca="1">_xlfn.FORMULATEXT(D22)</f>
        <v>=mean_1-mean_2</v>
      </c>
    </row>
    <row r="23" spans="2:8" ht="16.5" x14ac:dyDescent="0.45">
      <c r="B23" s="9"/>
      <c r="C23" s="12" t="s">
        <v>161</v>
      </c>
      <c r="D23" s="99">
        <f>sd_1/SQRT(n_1)</f>
        <v>0.13996693961806306</v>
      </c>
      <c r="E23" s="77" t="str">
        <f ca="1">_xlfn.FORMULATEXT(D23)</f>
        <v>=sd_1/SQRT(n_1)</v>
      </c>
    </row>
    <row r="24" spans="2:8" ht="16.5" x14ac:dyDescent="0.45">
      <c r="B24" s="9"/>
      <c r="C24" s="12" t="s">
        <v>162</v>
      </c>
      <c r="D24" s="99">
        <f>sd_2/SQRT(n_2)</f>
        <v>0.14989894635269141</v>
      </c>
      <c r="E24" s="77" t="str">
        <f ca="1">_xlfn.FORMULATEXT(D24)</f>
        <v>=sd_2/SQRT(n_2)</v>
      </c>
    </row>
    <row r="25" spans="2:8" ht="16.5" x14ac:dyDescent="0.45">
      <c r="B25" s="9"/>
      <c r="C25" s="12" t="s">
        <v>163</v>
      </c>
      <c r="D25" s="99">
        <f>SQRT(se_1^2+se_2^2)</f>
        <v>0.2050864166728103</v>
      </c>
      <c r="E25" s="77" t="str">
        <f ca="1">_xlfn.FORMULATEXT(D25)</f>
        <v>=SQRT(se_1^2+se_2^2)</v>
      </c>
    </row>
    <row r="26" spans="2:8" x14ac:dyDescent="0.35">
      <c r="B26" s="9"/>
      <c r="C26" s="12" t="s">
        <v>43</v>
      </c>
      <c r="D26" s="46" t="str">
        <f>IF(pop_sd_known,"N(0,1)",_xlfn.CONCAT("T(",t_df,"df)"))</f>
        <v>T(168df)</v>
      </c>
      <c r="E26" s="155" t="str">
        <f t="shared" ref="E26:E27" ca="1" si="0">_xlfn.FORMULATEXT(D26)</f>
        <v>=IF(pop_sd_known,"N(0,1)",CONCAT("T(",t_df,"df)"))</v>
      </c>
    </row>
    <row r="27" spans="2:8" x14ac:dyDescent="0.35">
      <c r="B27" s="9"/>
      <c r="C27" s="12" t="s">
        <v>168</v>
      </c>
      <c r="D27" s="46">
        <f>FLOOR(((se_1^2+se_2^2)^2)/(((1/(n_1-1))*(se_1^4)) +((1/(n_2-1))*(se_2^4))), 1)</f>
        <v>168</v>
      </c>
      <c r="E27" s="155" t="str">
        <f t="shared" ca="1" si="0"/>
        <v>=FLOOR(((se_1^2+se_2^2)^2)/(((1/(n_1-1))*(se_1^4)) +((1/(n_2-1))*(se_2^4))), 1)</v>
      </c>
    </row>
    <row r="28" spans="2:8" x14ac:dyDescent="0.35">
      <c r="B28" s="63"/>
      <c r="C28" s="27" t="s">
        <v>167</v>
      </c>
      <c r="D28" s="72">
        <f>IF(pop_sd_known,ABS(_xlfn.NORM.S.INV(alpha/2)),_xlfn.T.INV.2T(alpha,t_df))</f>
        <v>1.9741851911433261</v>
      </c>
      <c r="E28" s="155" t="str">
        <f ca="1">_xlfn.FORMULATEXT(D28)</f>
        <v>=IF(pop_sd_known,ABS(NORM.S.INV(alpha/2)),T.INV.2T(alpha,t_df))</v>
      </c>
    </row>
    <row r="30" spans="2:8" x14ac:dyDescent="0.35">
      <c r="C30" s="198"/>
      <c r="D30" s="199" t="s">
        <v>28</v>
      </c>
      <c r="E30" s="200"/>
    </row>
    <row r="31" spans="2:8" ht="16.5" x14ac:dyDescent="0.45">
      <c r="C31" s="13"/>
      <c r="D31" s="27" t="s">
        <v>166</v>
      </c>
      <c r="E31" s="28" t="b">
        <v>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3" name="Scroll Bar 1">
              <controlPr defaultSize="0" autoPict="0">
                <anchor moveWithCells="1">
                  <from>
                    <xdr:col>4</xdr:col>
                    <xdr:colOff>152400</xdr:colOff>
                    <xdr:row>3</xdr:row>
                    <xdr:rowOff>31750</xdr:rowOff>
                  </from>
                  <to>
                    <xdr:col>4</xdr:col>
                    <xdr:colOff>476250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4" name="Check Box 6">
              <controlPr defaultSize="0" autoFill="0" autoLine="0" autoPict="0">
                <anchor moveWithCells="1">
                  <from>
                    <xdr:col>4</xdr:col>
                    <xdr:colOff>38100</xdr:colOff>
                    <xdr:row>7</xdr:row>
                    <xdr:rowOff>0</xdr:rowOff>
                  </from>
                  <to>
                    <xdr:col>4</xdr:col>
                    <xdr:colOff>527050</xdr:colOff>
                    <xdr:row>8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FFA35-8EA9-40E7-89A7-81DF569BCDEF}">
  <dimension ref="A1:I27"/>
  <sheetViews>
    <sheetView zoomScaleNormal="100" workbookViewId="0"/>
  </sheetViews>
  <sheetFormatPr defaultRowHeight="14.5" x14ac:dyDescent="0.35"/>
  <cols>
    <col min="1" max="1" width="3.7265625" customWidth="1"/>
    <col min="2" max="2" width="23.453125" customWidth="1"/>
    <col min="3" max="3" width="12.453125" customWidth="1"/>
    <col min="4" max="4" width="13.1796875" customWidth="1"/>
    <col min="5" max="5" width="11.81640625" customWidth="1"/>
    <col min="6" max="6" width="5.7265625" customWidth="1"/>
    <col min="7" max="7" width="12.26953125" customWidth="1"/>
    <col min="9" max="9" width="20.1796875" customWidth="1"/>
    <col min="10" max="10" width="3.453125" customWidth="1"/>
    <col min="11" max="11" width="13.7265625" customWidth="1"/>
    <col min="12" max="12" width="10.81640625" customWidth="1"/>
  </cols>
  <sheetData>
    <row r="1" spans="2:6" s="203" customFormat="1" ht="23.5" x14ac:dyDescent="0.55000000000000004">
      <c r="D1" s="205" t="s">
        <v>91</v>
      </c>
    </row>
    <row r="3" spans="2:6" x14ac:dyDescent="0.35">
      <c r="B3" s="121"/>
      <c r="C3" s="123" t="s">
        <v>51</v>
      </c>
      <c r="D3" s="124"/>
      <c r="E3" s="124"/>
      <c r="F3" s="122"/>
    </row>
    <row r="4" spans="2:6" ht="15.75" customHeight="1" x14ac:dyDescent="0.45">
      <c r="B4" s="18" t="s">
        <v>79</v>
      </c>
      <c r="C4" s="102">
        <v>0.5</v>
      </c>
      <c r="D4" s="23" t="str">
        <f>IF(AND(null_hypo_p &lt;= 1, null_hypo_p &gt;= 0), "", "Error: Must be 0 - 1")</f>
        <v/>
      </c>
      <c r="E4" s="26"/>
      <c r="F4" s="11"/>
    </row>
    <row r="5" spans="2:6" x14ac:dyDescent="0.35">
      <c r="B5" s="18" t="s">
        <v>11</v>
      </c>
      <c r="C5" s="78">
        <v>0.05</v>
      </c>
      <c r="D5" s="10" t="str">
        <f>IF(AND(alpha &lt;= 1,alpha&gt;= 0), "", "Error: Must be 0 - 1")</f>
        <v/>
      </c>
      <c r="E5" s="10"/>
      <c r="F5" s="11"/>
    </row>
    <row r="6" spans="2:6" x14ac:dyDescent="0.35">
      <c r="B6" s="9"/>
      <c r="C6" s="12"/>
      <c r="D6" s="21"/>
      <c r="E6" s="10"/>
      <c r="F6" s="11"/>
    </row>
    <row r="7" spans="2:6" x14ac:dyDescent="0.35">
      <c r="B7" s="17" t="s">
        <v>67</v>
      </c>
      <c r="C7" s="49"/>
      <c r="D7" s="10"/>
      <c r="E7" s="10"/>
      <c r="F7" s="11"/>
    </row>
    <row r="8" spans="2:6" x14ac:dyDescent="0.35">
      <c r="B8" s="9"/>
      <c r="C8" s="47"/>
      <c r="D8" s="10"/>
      <c r="E8" s="10"/>
      <c r="F8" s="11"/>
    </row>
    <row r="9" spans="2:6" ht="15.75" customHeight="1" x14ac:dyDescent="0.45">
      <c r="B9" s="9"/>
      <c r="C9" s="45" t="s">
        <v>3</v>
      </c>
      <c r="D9" s="45" t="s">
        <v>4</v>
      </c>
      <c r="E9" s="45" t="s">
        <v>5</v>
      </c>
      <c r="F9" s="11"/>
    </row>
    <row r="10" spans="2:6" x14ac:dyDescent="0.35">
      <c r="B10" s="18" t="s">
        <v>81</v>
      </c>
      <c r="C10" s="102">
        <v>0.60099999999999998</v>
      </c>
      <c r="D10" s="26" t="str">
        <f>IF(AND(sample_p &lt;= 1, sample_p &gt;= 0), "", "Error: P Must be 0 - 1")</f>
        <v/>
      </c>
      <c r="E10" s="26"/>
      <c r="F10" s="11"/>
    </row>
    <row r="11" spans="2:6" x14ac:dyDescent="0.35">
      <c r="B11" s="19" t="s">
        <v>25</v>
      </c>
      <c r="C11" s="69">
        <v>2695</v>
      </c>
      <c r="D11" s="128" t="str">
        <f>IF(ISNUMBER(sample_n),"","Error: Must be a number.")</f>
        <v/>
      </c>
      <c r="E11" s="128"/>
      <c r="F11" s="16"/>
    </row>
    <row r="13" spans="2:6" x14ac:dyDescent="0.35">
      <c r="B13" s="107"/>
      <c r="C13" s="108" t="s">
        <v>23</v>
      </c>
      <c r="D13" s="109"/>
      <c r="E13" s="109"/>
      <c r="F13" s="116"/>
    </row>
    <row r="14" spans="2:6" x14ac:dyDescent="0.35">
      <c r="B14" s="18" t="s">
        <v>78</v>
      </c>
      <c r="C14" s="125">
        <f>IF(hypo_type=1,z_lt,IF(hypo_type=2,z_ut,z_2t))</f>
        <v>0</v>
      </c>
      <c r="D14" s="23" t="str">
        <f>IF(p_value&lt;0.001,"(report P-value as &lt;.001)","")</f>
        <v>(report P-value as &lt;.001)</v>
      </c>
      <c r="E14" s="10"/>
      <c r="F14" s="11"/>
    </row>
    <row r="15" spans="2:6" x14ac:dyDescent="0.35">
      <c r="B15" s="9"/>
      <c r="C15" s="75" t="str">
        <f ca="1">_xlfn.FORMULATEXT(C14)</f>
        <v>=IF(hypo_type=1,z_lt,IF(hypo_type=2,z_ut,z_2t))</v>
      </c>
      <c r="D15" s="10"/>
      <c r="E15" s="10"/>
      <c r="F15" s="11"/>
    </row>
    <row r="16" spans="2:6" x14ac:dyDescent="0.35">
      <c r="B16" s="19" t="s">
        <v>2</v>
      </c>
      <c r="C16" s="120" t="str">
        <f>IF(p_value&lt;alpha,"Reject null hypothesis.", "Fail to reject null hypothesis.")</f>
        <v>Reject null hypothesis.</v>
      </c>
      <c r="D16" s="15"/>
      <c r="E16" s="15"/>
      <c r="F16" s="16"/>
    </row>
    <row r="17" spans="1:9" x14ac:dyDescent="0.35">
      <c r="A17" s="118"/>
      <c r="B17" s="53"/>
      <c r="C17" s="150" t="str">
        <f ca="1">_xlfn.FORMULATEXT(C16)</f>
        <v>=IF(p_value&lt;alpha,"Reject null hypothesis.", "Fail to reject null hypothesis.")</v>
      </c>
      <c r="D17" s="53"/>
      <c r="E17" s="53"/>
      <c r="F17" s="118"/>
      <c r="G17" s="118"/>
      <c r="H17" s="118"/>
      <c r="I17" s="118"/>
    </row>
    <row r="18" spans="1:9" ht="12.75" customHeight="1" x14ac:dyDescent="0.35">
      <c r="A18" s="118"/>
      <c r="B18" s="118"/>
      <c r="C18" s="126"/>
      <c r="D18" s="118"/>
      <c r="E18" s="118"/>
      <c r="F18" s="118"/>
      <c r="G18" s="118"/>
      <c r="H18" s="118"/>
      <c r="I18" s="118"/>
    </row>
    <row r="19" spans="1:9" x14ac:dyDescent="0.35">
      <c r="B19" s="4" t="s">
        <v>82</v>
      </c>
      <c r="C19" s="127"/>
    </row>
    <row r="20" spans="1:9" ht="15.75" customHeight="1" x14ac:dyDescent="0.45">
      <c r="B20" s="18" t="s">
        <v>26</v>
      </c>
      <c r="C20" s="71">
        <f>SQRT(null_hypo_p*(1-null_hypo_p)/sample_n)</f>
        <v>9.6314266066177441E-3</v>
      </c>
      <c r="D20" s="77" t="str">
        <f ca="1">_xlfn.FORMULATEXT(C20)</f>
        <v>=SQRT(null_hypo_p*(1-null_hypo_p)/sample_n)</v>
      </c>
    </row>
    <row r="21" spans="1:9" ht="15.75" customHeight="1" x14ac:dyDescent="0.35">
      <c r="B21" s="18" t="s">
        <v>21</v>
      </c>
      <c r="C21" s="71">
        <f>(sample_p-null_hypo_p)/se_of_null_hypo_p</f>
        <v>10.486504660753265</v>
      </c>
      <c r="D21" s="77" t="str">
        <f ca="1">_xlfn.FORMULATEXT(C21)</f>
        <v>=(sample_p-null_hypo_p)/se_of_null_hypo_p</v>
      </c>
    </row>
    <row r="22" spans="1:9" x14ac:dyDescent="0.35">
      <c r="B22" s="18" t="s">
        <v>83</v>
      </c>
      <c r="C22" s="71">
        <f>_xlfn.NORM.S.DIST(z_statistic,TRUE)</f>
        <v>1</v>
      </c>
      <c r="D22" s="77" t="str">
        <f t="shared" ref="D22:D24" ca="1" si="0">_xlfn.FORMULATEXT(C22)</f>
        <v>=NORM.S.DIST(z_statistic,TRUE)</v>
      </c>
    </row>
    <row r="23" spans="1:9" x14ac:dyDescent="0.35">
      <c r="B23" s="18" t="s">
        <v>84</v>
      </c>
      <c r="C23" s="71">
        <f>1-(_xlfn.NORM.S.DIST(z_statistic,TRUE))</f>
        <v>0</v>
      </c>
      <c r="D23" s="77" t="str">
        <f t="shared" ca="1" si="0"/>
        <v>=1-(NORM.S.DIST(z_statistic,TRUE))</v>
      </c>
    </row>
    <row r="24" spans="1:9" x14ac:dyDescent="0.35">
      <c r="B24" s="19" t="s">
        <v>85</v>
      </c>
      <c r="C24" s="72">
        <f>MIN(z_lt,z_ut)*2</f>
        <v>0</v>
      </c>
      <c r="D24" s="77" t="str">
        <f t="shared" ca="1" si="0"/>
        <v>=MIN(z_lt,z_ut)*2</v>
      </c>
    </row>
    <row r="26" spans="1:9" x14ac:dyDescent="0.35">
      <c r="B26" s="29" t="s">
        <v>92</v>
      </c>
      <c r="C26" s="25"/>
    </row>
    <row r="27" spans="1:9" ht="16.5" x14ac:dyDescent="0.45">
      <c r="B27" s="19" t="s">
        <v>20</v>
      </c>
      <c r="C27" s="28">
        <v>2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2</xdr:col>
                    <xdr:colOff>50800</xdr:colOff>
                    <xdr:row>7</xdr:row>
                    <xdr:rowOff>146050</xdr:rowOff>
                  </from>
                  <to>
                    <xdr:col>2</xdr:col>
                    <xdr:colOff>222250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3</xdr:col>
                    <xdr:colOff>57150</xdr:colOff>
                    <xdr:row>7</xdr:row>
                    <xdr:rowOff>127000</xdr:rowOff>
                  </from>
                  <to>
                    <xdr:col>3</xdr:col>
                    <xdr:colOff>298450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4</xdr:col>
                    <xdr:colOff>31750</xdr:colOff>
                    <xdr:row>7</xdr:row>
                    <xdr:rowOff>146050</xdr:rowOff>
                  </from>
                  <to>
                    <xdr:col>4</xdr:col>
                    <xdr:colOff>209550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4B20A-28C8-4212-BA3B-AD24FE980D76}">
  <dimension ref="A1:H38"/>
  <sheetViews>
    <sheetView workbookViewId="0"/>
  </sheetViews>
  <sheetFormatPr defaultRowHeight="14.5" x14ac:dyDescent="0.35"/>
  <cols>
    <col min="1" max="1" width="3.453125" customWidth="1"/>
    <col min="2" max="2" width="1" customWidth="1"/>
    <col min="3" max="3" width="25.7265625" customWidth="1"/>
    <col min="4" max="4" width="12.54296875" customWidth="1"/>
    <col min="5" max="6" width="12" customWidth="1"/>
    <col min="7" max="7" width="13" customWidth="1"/>
    <col min="8" max="8" width="29.7265625" customWidth="1"/>
    <col min="9" max="9" width="2.81640625" customWidth="1"/>
    <col min="10" max="10" width="20.7265625" customWidth="1"/>
    <col min="12" max="12" width="15.1796875" customWidth="1"/>
    <col min="13" max="13" width="11.7265625" customWidth="1"/>
  </cols>
  <sheetData>
    <row r="1" spans="3:8" s="203" customFormat="1" ht="23.5" x14ac:dyDescent="0.55000000000000004">
      <c r="E1" s="205" t="s">
        <v>68</v>
      </c>
    </row>
    <row r="2" spans="3:8" ht="12.75" customHeight="1" x14ac:dyDescent="0.35"/>
    <row r="3" spans="3:8" x14ac:dyDescent="0.35">
      <c r="C3" s="104"/>
      <c r="D3" s="105" t="s">
        <v>51</v>
      </c>
      <c r="E3" s="106"/>
      <c r="F3" s="106"/>
      <c r="G3" s="117"/>
    </row>
    <row r="4" spans="3:8" ht="18" customHeight="1" x14ac:dyDescent="0.45">
      <c r="C4" s="18" t="s">
        <v>80</v>
      </c>
      <c r="D4" s="102">
        <v>60</v>
      </c>
      <c r="E4" s="58" t="str">
        <f>IF(ISNUMBER(null_hypo_mean),"","Error: Must be a number.")</f>
        <v/>
      </c>
      <c r="F4" s="10"/>
      <c r="G4" s="11"/>
    </row>
    <row r="5" spans="3:8" x14ac:dyDescent="0.35">
      <c r="C5" s="9"/>
      <c r="D5" s="10"/>
      <c r="E5" s="10"/>
      <c r="F5" s="10"/>
      <c r="G5" s="11"/>
    </row>
    <row r="6" spans="3:8" x14ac:dyDescent="0.35">
      <c r="C6" s="18" t="s">
        <v>67</v>
      </c>
      <c r="D6" s="12"/>
      <c r="E6" s="10"/>
      <c r="F6" s="10"/>
      <c r="G6" s="11"/>
    </row>
    <row r="7" spans="3:8" ht="16.5" x14ac:dyDescent="0.45">
      <c r="C7" s="9"/>
      <c r="D7" s="45" t="s">
        <v>66</v>
      </c>
      <c r="E7" s="45" t="s">
        <v>0</v>
      </c>
      <c r="F7" s="45" t="s">
        <v>1</v>
      </c>
      <c r="G7" s="11"/>
    </row>
    <row r="8" spans="3:8" x14ac:dyDescent="0.35">
      <c r="C8" s="18" t="s">
        <v>29</v>
      </c>
      <c r="D8" s="69">
        <f>$D$38/100</f>
        <v>0.05</v>
      </c>
      <c r="E8" s="10"/>
      <c r="F8" s="10"/>
      <c r="G8" s="11"/>
    </row>
    <row r="9" spans="3:8" x14ac:dyDescent="0.35">
      <c r="C9" s="18" t="s">
        <v>69</v>
      </c>
      <c r="D9" s="102">
        <v>73.375</v>
      </c>
      <c r="E9" s="58" t="str">
        <f>IF(ISNUMBER(mean),"","Error: Must be a number.")</f>
        <v/>
      </c>
      <c r="F9" s="58"/>
      <c r="G9" s="11"/>
    </row>
    <row r="10" spans="3:8" x14ac:dyDescent="0.35">
      <c r="C10" s="18" t="s">
        <v>25</v>
      </c>
      <c r="D10" s="70">
        <v>250</v>
      </c>
      <c r="E10" s="58" t="str">
        <f>IF(AND($D$10&lt;30,$D$37),"Warning: CLT assumes sample size &gt;= 30.","")</f>
        <v/>
      </c>
      <c r="F10" s="58"/>
      <c r="G10" s="11"/>
    </row>
    <row r="11" spans="3:8" x14ac:dyDescent="0.35">
      <c r="C11" s="18" t="s">
        <v>57</v>
      </c>
      <c r="D11" s="45"/>
      <c r="E11" s="10" t="s">
        <v>32</v>
      </c>
      <c r="F11" s="10"/>
      <c r="G11" s="11"/>
    </row>
    <row r="12" spans="3:8" x14ac:dyDescent="0.35">
      <c r="C12" s="19" t="str">
        <f>IF($D$37,"Population St. Dev.:","Sample St. Dev.")</f>
        <v>Population St. Dev.:</v>
      </c>
      <c r="D12" s="102">
        <v>22.832000000000001</v>
      </c>
      <c r="E12" s="14" t="str">
        <f>IF(AND(ISNUMBER(sd), sd&gt;0),"","Error: Must be positive number.")</f>
        <v/>
      </c>
      <c r="F12" s="14"/>
      <c r="G12" s="16"/>
    </row>
    <row r="14" spans="3:8" x14ac:dyDescent="0.35">
      <c r="C14" s="107"/>
      <c r="D14" s="108" t="s">
        <v>23</v>
      </c>
      <c r="E14" s="109"/>
      <c r="F14" s="109"/>
      <c r="G14" s="116"/>
      <c r="H14" s="118"/>
    </row>
    <row r="15" spans="3:8" x14ac:dyDescent="0.35">
      <c r="C15" s="18" t="s">
        <v>78</v>
      </c>
      <c r="D15" s="101">
        <f>IF(pop_sd_known,p_using_z,p_using_t)</f>
        <v>0</v>
      </c>
      <c r="E15" s="75" t="str">
        <f ca="1">_xlfn.FORMULATEXT(D15)</f>
        <v>=IF(pop_sd_known,p_using_z,p_using_t)</v>
      </c>
      <c r="F15" s="10"/>
      <c r="G15" s="11"/>
      <c r="H15" s="53" t="str">
        <f>IF(p_value&lt;0.001,"(report P-value as &lt;.001)","")</f>
        <v>(report P-value as &lt;.001)</v>
      </c>
    </row>
    <row r="16" spans="3:8" x14ac:dyDescent="0.35">
      <c r="C16" s="19" t="s">
        <v>2</v>
      </c>
      <c r="D16" s="120" t="str">
        <f>IF(p_value&lt;alpha,"Reject null hypothesis.", "Fail to reject null hypothesis.")</f>
        <v>Reject null hypothesis.</v>
      </c>
      <c r="E16" s="15"/>
      <c r="F16" s="15"/>
      <c r="G16" s="16"/>
      <c r="H16" s="118"/>
    </row>
    <row r="17" spans="1:8" x14ac:dyDescent="0.35">
      <c r="A17" s="118"/>
      <c r="B17" s="118"/>
      <c r="C17" s="54"/>
      <c r="D17" s="151" t="str">
        <f ca="1">_xlfn.FORMULATEXT(D16)</f>
        <v>=IF(p_value&lt;alpha,"Reject null hypothesis.", "Fail to reject null hypothesis.")</v>
      </c>
      <c r="E17" s="53"/>
      <c r="F17" s="53"/>
      <c r="G17" s="53"/>
      <c r="H17" s="118"/>
    </row>
    <row r="18" spans="1:8" ht="3.75" customHeight="1" x14ac:dyDescent="0.35"/>
    <row r="19" spans="1:8" x14ac:dyDescent="0.35">
      <c r="C19" s="110" t="s">
        <v>24</v>
      </c>
      <c r="D19" s="5"/>
    </row>
    <row r="20" spans="1:8" x14ac:dyDescent="0.35">
      <c r="C20" s="18" t="s">
        <v>30</v>
      </c>
      <c r="D20" s="71">
        <f>sd/SQRT(n)</f>
        <v>1.4440224707392888</v>
      </c>
      <c r="E20" s="75" t="str">
        <f ca="1">_xlfn.FORMULATEXT(D20)</f>
        <v>=sd/SQRT(n)</v>
      </c>
    </row>
    <row r="21" spans="1:8" x14ac:dyDescent="0.35">
      <c r="C21" s="18" t="s">
        <v>70</v>
      </c>
      <c r="D21" s="71">
        <f>(mean-null_hypo_mean)/se</f>
        <v>9.2623212387771705</v>
      </c>
      <c r="E21" s="75" t="str">
        <f t="shared" ref="E21:E22" ca="1" si="0">_xlfn.FORMULATEXT(D21)</f>
        <v>=(mean-null_hypo_mean)/se</v>
      </c>
    </row>
    <row r="22" spans="1:8" x14ac:dyDescent="0.35">
      <c r="C22" s="18" t="s">
        <v>72</v>
      </c>
      <c r="D22" s="46" t="str">
        <f>IF(pop_sd_known,"N(0,1)",_xlfn.CONCAT("T(",df,"df)"))</f>
        <v>N(0,1)</v>
      </c>
      <c r="E22" s="75" t="str">
        <f t="shared" ca="1" si="0"/>
        <v>=IF(pop_sd_known,"N(0,1)",CONCAT("T(",df,"df)"))</v>
      </c>
    </row>
    <row r="23" spans="1:8" x14ac:dyDescent="0.35">
      <c r="C23" s="111" t="str">
        <f>_xlfn.CONCAT("T(",df,"df) distribution values")</f>
        <v>T(249df) distribution values</v>
      </c>
      <c r="D23" s="113"/>
    </row>
    <row r="24" spans="1:8" x14ac:dyDescent="0.35">
      <c r="C24" s="18" t="s">
        <v>71</v>
      </c>
      <c r="D24" s="114">
        <f>n-1</f>
        <v>249</v>
      </c>
      <c r="E24" s="75" t="str">
        <f ca="1">_xlfn.FORMULATEXT(D24)</f>
        <v>=n-1</v>
      </c>
    </row>
    <row r="25" spans="1:8" x14ac:dyDescent="0.35">
      <c r="C25" s="18" t="s">
        <v>17</v>
      </c>
      <c r="D25" s="71">
        <f>_xlfn.T.DIST(test_stat,df,TRUE)</f>
        <v>1</v>
      </c>
      <c r="E25" s="75" t="str">
        <f t="shared" ref="E25:E28" ca="1" si="1">_xlfn.FORMULATEXT(D25)</f>
        <v>=T.DIST(test_stat,df,TRUE)</v>
      </c>
    </row>
    <row r="26" spans="1:8" x14ac:dyDescent="0.35">
      <c r="C26" s="18" t="s">
        <v>18</v>
      </c>
      <c r="D26" s="71">
        <f>_xlfn.T.DIST.RT(test_stat,df)</f>
        <v>4.8495872073254211E-18</v>
      </c>
      <c r="E26" s="75" t="str">
        <f t="shared" ca="1" si="1"/>
        <v>=T.DIST.RT(test_stat,df)</v>
      </c>
    </row>
    <row r="27" spans="1:8" x14ac:dyDescent="0.35">
      <c r="C27" s="18" t="s">
        <v>19</v>
      </c>
      <c r="D27" s="71">
        <f>_xlfn.T.DIST.2T(ABS(test_stat), df)</f>
        <v>9.6991744146508423E-18</v>
      </c>
      <c r="E27" s="75" t="str">
        <f t="shared" ca="1" si="1"/>
        <v>=T.DIST.2T(ABS(test_stat), df)</v>
      </c>
    </row>
    <row r="28" spans="1:8" x14ac:dyDescent="0.35">
      <c r="C28" s="19" t="s">
        <v>74</v>
      </c>
      <c r="D28" s="115">
        <f>IF(hypo_type=1,t_lower_tail,IF(hypo_type=2,t_upper_tail,t_two_tails))</f>
        <v>4.8495872073254211E-18</v>
      </c>
      <c r="E28" s="152" t="str">
        <f t="shared" ca="1" si="1"/>
        <v>=IF(hypo_type=1,t_lower_tail,IF(hypo_type=2,t_upper_tail,t_two_tails))</v>
      </c>
    </row>
    <row r="29" spans="1:8" x14ac:dyDescent="0.35">
      <c r="C29" s="112" t="s">
        <v>73</v>
      </c>
      <c r="D29" s="85"/>
    </row>
    <row r="30" spans="1:8" x14ac:dyDescent="0.35">
      <c r="C30" s="18" t="s">
        <v>17</v>
      </c>
      <c r="D30" s="71">
        <f>_xlfn.NORM.S.DIST(test_stat,TRUE)</f>
        <v>1</v>
      </c>
      <c r="E30" s="75" t="str">
        <f ca="1">_xlfn.FORMULATEXT(D30)</f>
        <v>=NORM.S.DIST(test_stat,TRUE)</v>
      </c>
    </row>
    <row r="31" spans="1:8" x14ac:dyDescent="0.35">
      <c r="C31" s="18" t="s">
        <v>18</v>
      </c>
      <c r="D31" s="71">
        <f>1-(_xlfn.NORM.S.DIST(test_stat,TRUE))</f>
        <v>0</v>
      </c>
      <c r="E31" s="75" t="str">
        <f t="shared" ref="E31:E33" ca="1" si="2">_xlfn.FORMULATEXT(D31)</f>
        <v>=1-(NORM.S.DIST(test_stat,TRUE))</v>
      </c>
    </row>
    <row r="32" spans="1:8" x14ac:dyDescent="0.35">
      <c r="C32" s="18" t="s">
        <v>19</v>
      </c>
      <c r="D32" s="71">
        <f>MIN(D31,D30)*2</f>
        <v>0</v>
      </c>
      <c r="E32" s="75" t="str">
        <f t="shared" ca="1" si="2"/>
        <v>=MIN(D31,D30)*2</v>
      </c>
    </row>
    <row r="33" spans="3:5" x14ac:dyDescent="0.35">
      <c r="C33" s="19" t="s">
        <v>75</v>
      </c>
      <c r="D33" s="115">
        <f>IF(hypo_type=1,z_lower_tail,IF(hypo_type=2,z_upper_tail,z_two_tails))</f>
        <v>0</v>
      </c>
      <c r="E33" s="152" t="str">
        <f t="shared" ca="1" si="2"/>
        <v>=IF(hypo_type=1,z_lower_tail,IF(hypo_type=2,z_upper_tail,z_two_tails))</v>
      </c>
    </row>
    <row r="35" spans="3:5" x14ac:dyDescent="0.35">
      <c r="C35" s="103" t="s">
        <v>28</v>
      </c>
      <c r="D35" s="43"/>
    </row>
    <row r="36" spans="3:5" ht="16.5" x14ac:dyDescent="0.45">
      <c r="C36" s="18" t="s">
        <v>76</v>
      </c>
      <c r="D36" s="46">
        <v>2</v>
      </c>
    </row>
    <row r="37" spans="3:5" x14ac:dyDescent="0.35">
      <c r="C37" s="18" t="s">
        <v>77</v>
      </c>
      <c r="D37" s="46" t="b">
        <v>1</v>
      </c>
    </row>
    <row r="38" spans="3:5" x14ac:dyDescent="0.35">
      <c r="C38" s="19" t="s">
        <v>27</v>
      </c>
      <c r="D38" s="28">
        <v>5</v>
      </c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3</xdr:col>
                    <xdr:colOff>50800</xdr:colOff>
                    <xdr:row>6</xdr:row>
                    <xdr:rowOff>0</xdr:rowOff>
                  </from>
                  <to>
                    <xdr:col>3</xdr:col>
                    <xdr:colOff>298450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4</xdr:col>
                    <xdr:colOff>50800</xdr:colOff>
                    <xdr:row>6</xdr:row>
                    <xdr:rowOff>12700</xdr:rowOff>
                  </from>
                  <to>
                    <xdr:col>4</xdr:col>
                    <xdr:colOff>222250</xdr:colOff>
                    <xdr:row>6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5</xdr:col>
                    <xdr:colOff>38100</xdr:colOff>
                    <xdr:row>5</xdr:row>
                    <xdr:rowOff>184150</xdr:rowOff>
                  </from>
                  <to>
                    <xdr:col>5</xdr:col>
                    <xdr:colOff>222250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croll Bar 5">
              <controlPr defaultSize="0" autoPict="0">
                <anchor moveWithCells="1">
                  <from>
                    <xdr:col>4</xdr:col>
                    <xdr:colOff>50800</xdr:colOff>
                    <xdr:row>7</xdr:row>
                    <xdr:rowOff>12700</xdr:rowOff>
                  </from>
                  <to>
                    <xdr:col>4</xdr:col>
                    <xdr:colOff>438150</xdr:colOff>
                    <xdr:row>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3</xdr:col>
                    <xdr:colOff>31750</xdr:colOff>
                    <xdr:row>9</xdr:row>
                    <xdr:rowOff>184150</xdr:rowOff>
                  </from>
                  <to>
                    <xdr:col>3</xdr:col>
                    <xdr:colOff>514350</xdr:colOff>
                    <xdr:row>11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17FC5-8041-45FC-95EB-CC5C03AB4911}">
  <dimension ref="A1:I29"/>
  <sheetViews>
    <sheetView workbookViewId="0"/>
  </sheetViews>
  <sheetFormatPr defaultRowHeight="14.5" x14ac:dyDescent="0.35"/>
  <cols>
    <col min="1" max="1" width="3.81640625" customWidth="1"/>
    <col min="2" max="2" width="20" customWidth="1"/>
    <col min="3" max="3" width="11.7265625" customWidth="1"/>
    <col min="4" max="4" width="17.81640625" customWidth="1"/>
    <col min="5" max="5" width="11.7265625" customWidth="1"/>
    <col min="6" max="6" width="13.7265625" customWidth="1"/>
    <col min="7" max="7" width="13.26953125" customWidth="1"/>
    <col min="8" max="8" width="14.81640625" customWidth="1"/>
    <col min="9" max="9" width="9.81640625" customWidth="1"/>
    <col min="10" max="10" width="18" customWidth="1"/>
    <col min="11" max="11" width="9.1796875" customWidth="1"/>
  </cols>
  <sheetData>
    <row r="1" spans="2:9" s="203" customFormat="1" ht="23.5" x14ac:dyDescent="0.55000000000000004">
      <c r="D1" s="205" t="s">
        <v>98</v>
      </c>
    </row>
    <row r="3" spans="2:9" x14ac:dyDescent="0.35">
      <c r="B3" s="136"/>
      <c r="C3" s="137" t="s">
        <v>90</v>
      </c>
      <c r="D3" s="138"/>
      <c r="E3" s="139"/>
    </row>
    <row r="4" spans="2:9" ht="15.75" customHeight="1" x14ac:dyDescent="0.45">
      <c r="B4" s="18" t="s">
        <v>34</v>
      </c>
      <c r="C4" s="78">
        <v>0</v>
      </c>
      <c r="D4" s="18" t="s">
        <v>11</v>
      </c>
      <c r="E4" s="78">
        <v>0.05</v>
      </c>
    </row>
    <row r="5" spans="2:9" x14ac:dyDescent="0.35">
      <c r="B5" s="20"/>
      <c r="C5" s="10"/>
      <c r="D5" s="10"/>
      <c r="E5" s="11"/>
    </row>
    <row r="6" spans="2:9" x14ac:dyDescent="0.35">
      <c r="B6" s="17" t="s">
        <v>67</v>
      </c>
      <c r="C6" s="2"/>
      <c r="D6" s="10"/>
      <c r="E6" s="11"/>
      <c r="H6" s="118"/>
      <c r="I6" s="118"/>
    </row>
    <row r="7" spans="2:9" x14ac:dyDescent="0.35">
      <c r="B7" s="20"/>
      <c r="C7" s="22"/>
      <c r="D7" s="10"/>
      <c r="E7" s="11"/>
      <c r="H7" s="118"/>
      <c r="I7" s="118"/>
    </row>
    <row r="8" spans="2:9" ht="16.5" x14ac:dyDescent="0.45">
      <c r="B8" s="20"/>
      <c r="C8" s="45" t="s">
        <v>8</v>
      </c>
      <c r="D8" s="45" t="s">
        <v>9</v>
      </c>
      <c r="E8" s="46" t="s">
        <v>10</v>
      </c>
      <c r="H8" s="118"/>
      <c r="I8" s="118"/>
    </row>
    <row r="9" spans="2:9" x14ac:dyDescent="0.35">
      <c r="B9" s="130" t="s">
        <v>6</v>
      </c>
      <c r="C9" s="10"/>
      <c r="D9" s="129" t="s">
        <v>7</v>
      </c>
      <c r="E9" s="11"/>
      <c r="H9" s="118"/>
      <c r="I9" s="118"/>
    </row>
    <row r="10" spans="2:9" ht="15.75" customHeight="1" x14ac:dyDescent="0.45">
      <c r="B10" s="18" t="s">
        <v>12</v>
      </c>
      <c r="C10" s="102">
        <v>0.6</v>
      </c>
      <c r="D10" s="12" t="s">
        <v>14</v>
      </c>
      <c r="E10" s="102">
        <v>0.51700000000000002</v>
      </c>
      <c r="H10" s="54"/>
      <c r="I10" s="60"/>
    </row>
    <row r="11" spans="2:9" ht="16.5" customHeight="1" x14ac:dyDescent="0.45">
      <c r="B11" s="19" t="s">
        <v>13</v>
      </c>
      <c r="C11" s="69">
        <v>105</v>
      </c>
      <c r="D11" s="27" t="s">
        <v>15</v>
      </c>
      <c r="E11" s="69">
        <v>58</v>
      </c>
      <c r="H11" s="118"/>
      <c r="I11" s="118"/>
    </row>
    <row r="12" spans="2:9" x14ac:dyDescent="0.35">
      <c r="B12" s="2"/>
      <c r="C12" s="3"/>
      <c r="D12" s="2"/>
      <c r="E12" s="2"/>
    </row>
    <row r="13" spans="2:9" x14ac:dyDescent="0.35">
      <c r="B13" s="36"/>
      <c r="C13" s="140" t="s">
        <v>23</v>
      </c>
      <c r="D13" s="141"/>
      <c r="E13" s="41"/>
      <c r="F13" s="37"/>
      <c r="G13" s="53"/>
    </row>
    <row r="14" spans="2:9" x14ac:dyDescent="0.35">
      <c r="B14" s="18" t="s">
        <v>78</v>
      </c>
      <c r="C14" s="125">
        <f>IF(hypo_type=1,z_lt,IF(hypo_type=2,z_ut,z_2t))</f>
        <v>0.84729359864253351</v>
      </c>
      <c r="D14" s="75" t="str">
        <f ca="1">_xlfn.FORMULATEXT(C14)</f>
        <v>=IF(hypo_type=1,z_lt,IF(hypo_type=2,z_ut,z_2t))</v>
      </c>
      <c r="E14" s="10"/>
      <c r="F14" s="11"/>
      <c r="G14" s="53"/>
    </row>
    <row r="15" spans="2:9" x14ac:dyDescent="0.35">
      <c r="B15" s="19" t="s">
        <v>2</v>
      </c>
      <c r="C15" s="120" t="str">
        <f>IF(p_value&lt;alpha,"Reject null hypothesis.", "Fail to reject null hypothesis.")</f>
        <v>Fail to reject null hypothesis.</v>
      </c>
      <c r="D15" s="15"/>
      <c r="E15" s="15"/>
      <c r="F15" s="16"/>
      <c r="G15" s="53"/>
    </row>
    <row r="16" spans="2:9" x14ac:dyDescent="0.35">
      <c r="B16" s="53"/>
      <c r="C16" s="153" t="str">
        <f ca="1">_xlfn.FORMULATEXT(C15)</f>
        <v>=IF(p_value&lt;alpha,"Reject null hypothesis.", "Fail to reject null hypothesis.")</v>
      </c>
      <c r="D16" s="53"/>
      <c r="E16" s="53"/>
      <c r="F16" s="53"/>
      <c r="G16" s="53"/>
    </row>
    <row r="17" spans="1:8" ht="7.5" customHeight="1" x14ac:dyDescent="0.35">
      <c r="A17" s="118"/>
      <c r="B17" s="53"/>
      <c r="C17" s="53"/>
      <c r="D17" s="118"/>
      <c r="E17" s="53"/>
      <c r="F17" s="53"/>
      <c r="G17" s="53"/>
    </row>
    <row r="18" spans="1:8" x14ac:dyDescent="0.35">
      <c r="B18" s="4" t="s">
        <v>88</v>
      </c>
      <c r="C18" s="5"/>
      <c r="D18" s="118"/>
      <c r="E18" s="53"/>
      <c r="F18" s="53"/>
      <c r="G18" s="53"/>
      <c r="H18" s="118"/>
    </row>
    <row r="19" spans="1:8" ht="15.75" customHeight="1" x14ac:dyDescent="0.45">
      <c r="B19" s="17" t="s">
        <v>87</v>
      </c>
      <c r="C19" s="71">
        <f>(p_1-p_2)-null_hypo_diff</f>
        <v>8.2999999999999963E-2</v>
      </c>
      <c r="D19" s="119" t="str">
        <f ca="1">_xlfn.FORMULATEXT(C19)</f>
        <v>=(p_1-p_2)-null_hypo_diff</v>
      </c>
      <c r="E19" s="53"/>
      <c r="F19" s="53"/>
      <c r="G19" s="53"/>
      <c r="H19" s="118"/>
    </row>
    <row r="20" spans="1:8" x14ac:dyDescent="0.35">
      <c r="B20" s="17" t="s">
        <v>16</v>
      </c>
      <c r="C20" s="71">
        <f>(p_1*n_1+p_2*n_2) / (n_1+n_2)</f>
        <v>0.57046625766871173</v>
      </c>
      <c r="D20" s="119" t="str">
        <f t="shared" ref="D20:D25" ca="1" si="0">_xlfn.FORMULATEXT(C20)</f>
        <v>=(p_1*n_1+p_2*n_2) / (n_1+n_2)</v>
      </c>
      <c r="E20" s="53"/>
      <c r="F20" s="53"/>
      <c r="G20" s="53"/>
      <c r="H20" s="118"/>
    </row>
    <row r="21" spans="1:8" x14ac:dyDescent="0.35">
      <c r="B21" s="18" t="s">
        <v>86</v>
      </c>
      <c r="C21" s="71">
        <f>SQRT(pooled_p*(1-pooled_p)*(1/n_1+1/n_2))</f>
        <v>8.0983917157443921E-2</v>
      </c>
      <c r="D21" s="119" t="str">
        <f t="shared" ca="1" si="0"/>
        <v>=SQRT(pooled_p*(1-pooled_p)*(1/n_1+1/n_2))</v>
      </c>
      <c r="E21" s="53"/>
      <c r="F21" s="53"/>
      <c r="G21" s="53"/>
      <c r="H21" s="118"/>
    </row>
    <row r="22" spans="1:8" x14ac:dyDescent="0.35">
      <c r="B22" s="18" t="s">
        <v>21</v>
      </c>
      <c r="C22" s="71">
        <f>sample_diff_minus_null_hypo_diff/pooled_se</f>
        <v>1.0248948545997905</v>
      </c>
      <c r="D22" s="119" t="str">
        <f t="shared" ca="1" si="0"/>
        <v>=sample_diff_minus_null_hypo_diff/pooled_se</v>
      </c>
      <c r="E22" s="53"/>
      <c r="F22" s="53"/>
      <c r="G22" s="53"/>
      <c r="H22" s="118"/>
    </row>
    <row r="23" spans="1:8" x14ac:dyDescent="0.35">
      <c r="B23" s="18" t="s">
        <v>83</v>
      </c>
      <c r="C23" s="71">
        <f>_xlfn.NORM.S.DIST(z_statistic,TRUE)</f>
        <v>0.84729359864253351</v>
      </c>
      <c r="D23" s="119" t="str">
        <f t="shared" ca="1" si="0"/>
        <v>=NORM.S.DIST(z_statistic,TRUE)</v>
      </c>
      <c r="E23" s="53"/>
      <c r="F23" s="53"/>
      <c r="G23" s="53"/>
      <c r="H23" s="118"/>
    </row>
    <row r="24" spans="1:8" x14ac:dyDescent="0.35">
      <c r="B24" s="18" t="s">
        <v>84</v>
      </c>
      <c r="C24" s="71">
        <f>1-(_xlfn.NORM.S.DIST(z_statistic,TRUE))</f>
        <v>0.15270640135746649</v>
      </c>
      <c r="D24" s="119" t="str">
        <f t="shared" ca="1" si="0"/>
        <v>=1-(NORM.S.DIST(z_statistic,TRUE))</v>
      </c>
      <c r="E24" s="53"/>
      <c r="F24" s="53"/>
      <c r="G24" s="53"/>
      <c r="H24" s="118"/>
    </row>
    <row r="25" spans="1:8" x14ac:dyDescent="0.35">
      <c r="B25" s="19" t="s">
        <v>85</v>
      </c>
      <c r="C25" s="72">
        <f>MIN(z_lt,z_ut)*2</f>
        <v>0.30541280271493298</v>
      </c>
      <c r="D25" s="119" t="str">
        <f t="shared" ca="1" si="0"/>
        <v>=MIN(z_lt,z_ut)*2</v>
      </c>
      <c r="E25" s="118"/>
      <c r="F25" s="118"/>
      <c r="G25" s="118"/>
      <c r="H25" s="118"/>
    </row>
    <row r="26" spans="1:8" x14ac:dyDescent="0.35">
      <c r="B26" s="1"/>
    </row>
    <row r="27" spans="1:8" x14ac:dyDescent="0.35">
      <c r="B27" s="34" t="s">
        <v>89</v>
      </c>
      <c r="C27" s="35"/>
    </row>
    <row r="28" spans="1:8" ht="15.75" customHeight="1" x14ac:dyDescent="0.45">
      <c r="B28" s="19" t="s">
        <v>20</v>
      </c>
      <c r="C28" s="28">
        <v>1</v>
      </c>
    </row>
    <row r="29" spans="1:8" ht="15.75" customHeight="1" x14ac:dyDescent="0.3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Option Button 1">
              <controlPr defaultSize="0" autoFill="0" autoLine="0" autoPict="0">
                <anchor moveWithCells="1">
                  <from>
                    <xdr:col>2</xdr:col>
                    <xdr:colOff>260350</xdr:colOff>
                    <xdr:row>6</xdr:row>
                    <xdr:rowOff>69850</xdr:rowOff>
                  </from>
                  <to>
                    <xdr:col>2</xdr:col>
                    <xdr:colOff>431800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Option Button 2">
              <controlPr defaultSize="0" autoFill="0" autoLine="0" autoPict="0">
                <anchor moveWithCells="1">
                  <from>
                    <xdr:col>3</xdr:col>
                    <xdr:colOff>495300</xdr:colOff>
                    <xdr:row>6</xdr:row>
                    <xdr:rowOff>76200</xdr:rowOff>
                  </from>
                  <to>
                    <xdr:col>3</xdr:col>
                    <xdr:colOff>698500</xdr:colOff>
                    <xdr:row>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Option Button 3">
              <controlPr defaultSize="0" autoFill="0" autoLine="0" autoPict="0">
                <anchor moveWithCells="1">
                  <from>
                    <xdr:col>4</xdr:col>
                    <xdr:colOff>298450</xdr:colOff>
                    <xdr:row>6</xdr:row>
                    <xdr:rowOff>69850</xdr:rowOff>
                  </from>
                  <to>
                    <xdr:col>4</xdr:col>
                    <xdr:colOff>495300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D8E8D-8DC9-420B-ADE4-BB4049B7FB21}">
  <dimension ref="A1:H59"/>
  <sheetViews>
    <sheetView zoomScaleNormal="100" workbookViewId="0"/>
  </sheetViews>
  <sheetFormatPr defaultRowHeight="14.5" x14ac:dyDescent="0.35"/>
  <cols>
    <col min="1" max="1" width="3.81640625" customWidth="1"/>
    <col min="2" max="2" width="22.81640625" customWidth="1"/>
    <col min="3" max="3" width="14.7265625" customWidth="1"/>
    <col min="4" max="4" width="12.81640625" customWidth="1"/>
    <col min="5" max="5" width="14.1796875" customWidth="1"/>
    <col min="6" max="6" width="14.7265625" customWidth="1"/>
    <col min="7" max="7" width="1" customWidth="1"/>
    <col min="8" max="8" width="16" customWidth="1"/>
    <col min="11" max="11" width="10.453125" customWidth="1"/>
    <col min="12" max="12" width="8" customWidth="1"/>
    <col min="13" max="13" width="11.7265625" customWidth="1"/>
    <col min="15" max="15" width="10.453125" customWidth="1"/>
  </cols>
  <sheetData>
    <row r="1" spans="2:7" s="203" customFormat="1" ht="23.5" x14ac:dyDescent="0.55000000000000004">
      <c r="D1" s="205" t="s">
        <v>125</v>
      </c>
    </row>
    <row r="3" spans="2:7" x14ac:dyDescent="0.35">
      <c r="B3" s="36"/>
      <c r="C3" s="39"/>
      <c r="D3" s="40" t="s">
        <v>22</v>
      </c>
      <c r="E3" s="41"/>
      <c r="F3" s="41"/>
      <c r="G3" s="37"/>
    </row>
    <row r="4" spans="2:7" ht="16.5" x14ac:dyDescent="0.45">
      <c r="B4" s="18" t="s">
        <v>34</v>
      </c>
      <c r="C4" s="78">
        <v>0</v>
      </c>
      <c r="D4" s="58" t="str">
        <f>IF(ISNUMBER(C4),"","Error: Must be a number.")</f>
        <v/>
      </c>
      <c r="E4" s="10"/>
      <c r="F4" s="10"/>
      <c r="G4" s="11"/>
    </row>
    <row r="5" spans="2:7" x14ac:dyDescent="0.35">
      <c r="B5" s="18" t="s">
        <v>29</v>
      </c>
      <c r="C5" s="69">
        <v>0.05</v>
      </c>
      <c r="D5" s="10"/>
      <c r="E5" s="10"/>
      <c r="F5" s="10"/>
      <c r="G5" s="11"/>
    </row>
    <row r="6" spans="2:7" x14ac:dyDescent="0.35">
      <c r="B6" s="9"/>
      <c r="C6" s="12"/>
      <c r="D6" s="10"/>
      <c r="E6" s="10"/>
      <c r="F6" s="10"/>
      <c r="G6" s="11"/>
    </row>
    <row r="7" spans="2:7" x14ac:dyDescent="0.35">
      <c r="B7" s="9"/>
      <c r="C7" s="12"/>
      <c r="D7" s="10"/>
      <c r="E7" s="10"/>
      <c r="F7" s="10"/>
      <c r="G7" s="11"/>
    </row>
    <row r="8" spans="2:7" x14ac:dyDescent="0.35">
      <c r="B8" s="9"/>
      <c r="C8" s="12"/>
      <c r="D8" s="10"/>
      <c r="E8" s="10"/>
      <c r="F8" s="10"/>
      <c r="G8" s="11"/>
    </row>
    <row r="9" spans="2:7" x14ac:dyDescent="0.35">
      <c r="B9" s="9"/>
      <c r="C9" s="12"/>
      <c r="D9" s="10"/>
      <c r="E9" s="10"/>
      <c r="F9" s="10"/>
      <c r="G9" s="11"/>
    </row>
    <row r="10" spans="2:7" x14ac:dyDescent="0.35">
      <c r="B10" s="142"/>
      <c r="C10" s="10"/>
      <c r="D10" s="10"/>
      <c r="E10" s="10"/>
      <c r="F10" s="10"/>
      <c r="G10" s="11"/>
    </row>
    <row r="11" spans="2:7" ht="16.5" x14ac:dyDescent="0.45">
      <c r="B11" s="9"/>
      <c r="C11" s="45" t="s">
        <v>101</v>
      </c>
      <c r="D11" s="45" t="s">
        <v>102</v>
      </c>
      <c r="E11" s="45" t="s">
        <v>103</v>
      </c>
      <c r="F11" s="10"/>
      <c r="G11" s="11"/>
    </row>
    <row r="12" spans="2:7" x14ac:dyDescent="0.35">
      <c r="B12" s="145" t="s">
        <v>6</v>
      </c>
      <c r="C12" s="47"/>
      <c r="D12" s="10"/>
      <c r="E12" s="144" t="s">
        <v>7</v>
      </c>
      <c r="F12" s="47"/>
      <c r="G12" s="11"/>
    </row>
    <row r="13" spans="2:7" ht="16.5" x14ac:dyDescent="0.45">
      <c r="B13" s="18" t="s">
        <v>33</v>
      </c>
      <c r="C13" s="102">
        <v>3.2789999999999999</v>
      </c>
      <c r="D13" s="10"/>
      <c r="E13" s="12" t="s">
        <v>35</v>
      </c>
      <c r="F13" s="102">
        <v>2.5710000000000002</v>
      </c>
      <c r="G13" s="11"/>
    </row>
    <row r="14" spans="2:7" ht="16.5" x14ac:dyDescent="0.45">
      <c r="B14" s="18" t="s">
        <v>13</v>
      </c>
      <c r="C14" s="70">
        <v>86</v>
      </c>
      <c r="D14" s="12"/>
      <c r="E14" s="12" t="s">
        <v>15</v>
      </c>
      <c r="F14" s="69">
        <v>84</v>
      </c>
      <c r="G14" s="11"/>
    </row>
    <row r="15" spans="2:7" x14ac:dyDescent="0.35">
      <c r="B15" s="18" t="str">
        <f>IF(assumption_sd=1, "Pop. St. Dev. (σ1):","Sample St. Dev. (sd1)")</f>
        <v>Sample St. Dev. (sd1)</v>
      </c>
      <c r="C15" s="102">
        <v>1.298</v>
      </c>
      <c r="D15" s="10"/>
      <c r="E15" s="12" t="str">
        <f>IF(assumption_sd=1, "Pop. St. Dev. (σ2):","Sample St. Dev. (sd2)")</f>
        <v>Sample St. Dev. (sd2)</v>
      </c>
      <c r="F15" s="102">
        <v>1.3819999999999999</v>
      </c>
      <c r="G15" s="11"/>
    </row>
    <row r="16" spans="2:7" x14ac:dyDescent="0.35">
      <c r="B16" s="9"/>
      <c r="C16" s="10"/>
      <c r="D16" s="10"/>
      <c r="E16" s="10"/>
      <c r="F16" s="10"/>
      <c r="G16" s="11"/>
    </row>
    <row r="17" spans="1:8" ht="16.5" x14ac:dyDescent="0.45">
      <c r="B17" s="9"/>
      <c r="C17" s="12" t="s">
        <v>99</v>
      </c>
      <c r="D17" s="10"/>
      <c r="E17" s="45" t="s">
        <v>36</v>
      </c>
      <c r="F17" s="10"/>
      <c r="G17" s="11"/>
    </row>
    <row r="18" spans="1:8" ht="16.5" x14ac:dyDescent="0.45">
      <c r="B18" s="9"/>
      <c r="C18" s="12" t="s">
        <v>104</v>
      </c>
      <c r="D18" s="10"/>
      <c r="E18" s="45" t="s">
        <v>106</v>
      </c>
      <c r="F18" s="10"/>
      <c r="G18" s="11"/>
    </row>
    <row r="19" spans="1:8" ht="16.5" x14ac:dyDescent="0.45">
      <c r="B19" s="9"/>
      <c r="C19" s="12" t="s">
        <v>105</v>
      </c>
      <c r="D19" s="10"/>
      <c r="E19" s="45" t="s">
        <v>123</v>
      </c>
      <c r="F19" s="10"/>
      <c r="G19" s="11"/>
    </row>
    <row r="20" spans="1:8" ht="8.25" customHeight="1" x14ac:dyDescent="0.35">
      <c r="B20" s="13"/>
      <c r="C20" s="27"/>
      <c r="D20" s="15"/>
      <c r="E20" s="27"/>
      <c r="F20" s="15"/>
      <c r="G20" s="16"/>
    </row>
    <row r="22" spans="1:8" x14ac:dyDescent="0.35">
      <c r="B22" s="30"/>
      <c r="C22" s="31" t="s">
        <v>23</v>
      </c>
      <c r="D22" s="32"/>
      <c r="E22" s="32"/>
      <c r="F22" s="32"/>
      <c r="G22" s="33"/>
    </row>
    <row r="23" spans="1:8" x14ac:dyDescent="0.35">
      <c r="B23" s="18" t="s">
        <v>124</v>
      </c>
      <c r="C23" s="101">
        <f>IF(assumption_sd=1,p_using_z,IF(assumption_sd=2,p_using_t_equal_sd,p_using_t_unequal_sd))</f>
        <v>3.6626432430609829E-4</v>
      </c>
      <c r="D23" s="10"/>
      <c r="E23" s="10"/>
      <c r="F23" s="10"/>
      <c r="G23" s="11"/>
    </row>
    <row r="24" spans="1:8" x14ac:dyDescent="0.35">
      <c r="B24" s="19" t="s">
        <v>2</v>
      </c>
      <c r="C24" s="120" t="str">
        <f>IF(p_value&lt;alpha,"Reject null hypothesis.", "Fail to reject null hypothesis.")</f>
        <v>Reject null hypothesis.</v>
      </c>
      <c r="D24" s="15"/>
      <c r="E24" s="15"/>
      <c r="F24" s="15"/>
      <c r="G24" s="16"/>
    </row>
    <row r="25" spans="1:8" s="53" customFormat="1" x14ac:dyDescent="0.35">
      <c r="B25" s="154" t="s">
        <v>78</v>
      </c>
      <c r="C25" s="153" t="str">
        <f ca="1">_xlfn.FORMULATEXT(p_value)</f>
        <v>=IF(assumption_sd=1,p_using_z,IF(assumption_sd=2,p_using_t_equal_sd,p_using_t_unequal_sd))</v>
      </c>
    </row>
    <row r="26" spans="1:8" s="53" customFormat="1" x14ac:dyDescent="0.35">
      <c r="B26" s="154" t="s">
        <v>2</v>
      </c>
      <c r="C26" s="153" t="str">
        <f ca="1">_xlfn.FORMULATEXT(C24)</f>
        <v>=IF(p_value&lt;alpha,"Reject null hypothesis.", "Fail to reject null hypothesis.")</v>
      </c>
    </row>
    <row r="27" spans="1:8" x14ac:dyDescent="0.35">
      <c r="A27" s="118"/>
      <c r="B27" s="118"/>
      <c r="C27" s="118"/>
      <c r="D27" s="118"/>
      <c r="E27" s="118"/>
      <c r="F27" s="118"/>
      <c r="G27" s="118"/>
      <c r="H27" s="118"/>
    </row>
    <row r="28" spans="1:8" x14ac:dyDescent="0.35">
      <c r="B28" s="38"/>
      <c r="C28" s="59" t="s">
        <v>24</v>
      </c>
      <c r="D28" s="5"/>
    </row>
    <row r="29" spans="1:8" ht="16.5" x14ac:dyDescent="0.45">
      <c r="B29" s="9"/>
      <c r="C29" s="48" t="s">
        <v>107</v>
      </c>
      <c r="D29" s="99">
        <f>(mean_1-mean_2)-null_hypo_diff</f>
        <v>0.70799999999999974</v>
      </c>
      <c r="E29" s="146" t="str">
        <f ca="1">_xlfn.FORMULATEXT(D29)</f>
        <v>=(mean_1-mean_2)-null_hypo_diff</v>
      </c>
    </row>
    <row r="30" spans="1:8" x14ac:dyDescent="0.35">
      <c r="B30" s="9"/>
      <c r="C30" s="48" t="s">
        <v>126</v>
      </c>
      <c r="D30" s="99">
        <f>sd_1/SQRT(n_1)</f>
        <v>0.13996693961806306</v>
      </c>
      <c r="E30" s="77" t="str">
        <f ca="1">_xlfn.FORMULATEXT(D30)</f>
        <v>=sd_1/SQRT(n_1)</v>
      </c>
    </row>
    <row r="31" spans="1:8" x14ac:dyDescent="0.35">
      <c r="B31" s="9"/>
      <c r="C31" s="48" t="s">
        <v>127</v>
      </c>
      <c r="D31" s="99">
        <f>sd_2/SQRT(n_2)</f>
        <v>0.15078856215307074</v>
      </c>
      <c r="E31" s="77" t="str">
        <f ca="1">_xlfn.FORMULATEXT(D31)</f>
        <v>=sd_2/SQRT(n_2)</v>
      </c>
    </row>
    <row r="32" spans="1:8" x14ac:dyDescent="0.35">
      <c r="B32" s="147" t="s">
        <v>122</v>
      </c>
      <c r="C32" s="12"/>
      <c r="D32" s="149" t="str">
        <f>IF(assumption_sd=3,"Selected","")</f>
        <v>Selected</v>
      </c>
    </row>
    <row r="33" spans="2:5" x14ac:dyDescent="0.35">
      <c r="B33" s="9"/>
      <c r="C33" s="12" t="s">
        <v>112</v>
      </c>
      <c r="D33" s="143">
        <f>FLOOR(((se_1^2+se_2^2)^2)/(((1/(n_1-1))*(se_1^4)) +((1/(n_2-1))*(se_2^4))), 1)</f>
        <v>166</v>
      </c>
      <c r="E33" s="155" t="str">
        <f ca="1">_xlfn.FORMULATEXT(df_unequal_sd)</f>
        <v>=FLOOR(((se_1^2+se_2^2)^2)/(((1/(n_1-1))*(se_1^4)) +((1/(n_2-1))*(se_2^4))), 1)</v>
      </c>
    </row>
    <row r="34" spans="2:5" ht="16.5" x14ac:dyDescent="0.45">
      <c r="B34" s="9"/>
      <c r="C34" s="12" t="s">
        <v>111</v>
      </c>
      <c r="D34" s="99">
        <f>SQRT(se_1^2 + se_2^2)</f>
        <v>0.20573753829147706</v>
      </c>
      <c r="E34" s="77" t="str">
        <f ca="1">_xlfn.FORMULATEXT(D34)</f>
        <v>=SQRT(se_1^2 + se_2^2)</v>
      </c>
    </row>
    <row r="35" spans="2:5" x14ac:dyDescent="0.35">
      <c r="B35" s="9"/>
      <c r="C35" s="12" t="s">
        <v>119</v>
      </c>
      <c r="D35" s="99">
        <f>sample_diff_minus_null_hypo_diff/se_diff</f>
        <v>3.4412776874823212</v>
      </c>
      <c r="E35" s="77" t="str">
        <f t="shared" ref="E35" ca="1" si="0">_xlfn.FORMULATEXT(D35)</f>
        <v>=sample_diff_minus_null_hypo_diff/se_diff</v>
      </c>
    </row>
    <row r="36" spans="2:5" x14ac:dyDescent="0.35">
      <c r="B36" s="9"/>
      <c r="C36" s="12" t="str">
        <f>_xlfn.CONCAT("T(",df_unequal_sd,"df) lower tail:")</f>
        <v>T(166df) lower tail:</v>
      </c>
      <c r="D36" s="99">
        <f>_xlfn.T.DIST(t_stat_unequal_sd,df_unequal_sd,TRUE)</f>
        <v>0.99963373567569391</v>
      </c>
      <c r="E36" s="77" t="str">
        <f ca="1">_xlfn.FORMULATEXT(D36)</f>
        <v>=T.DIST(t_stat_unequal_sd,df_unequal_sd,TRUE)</v>
      </c>
    </row>
    <row r="37" spans="2:5" x14ac:dyDescent="0.35">
      <c r="B37" s="9"/>
      <c r="C37" s="12" t="str">
        <f>_xlfn.CONCAT("T(",df_unequal_sd,"df) upper tail:")</f>
        <v>T(166df) upper tail:</v>
      </c>
      <c r="D37" s="99">
        <f>_xlfn.T.DIST.RT(t_stat_unequal_sd,df_unequal_sd)</f>
        <v>3.6626432430609829E-4</v>
      </c>
      <c r="E37" s="77" t="str">
        <f t="shared" ref="E37:E55" ca="1" si="1">_xlfn.FORMULATEXT(D37)</f>
        <v>=T.DIST.RT(t_stat_unequal_sd,df_unequal_sd)</v>
      </c>
    </row>
    <row r="38" spans="2:5" x14ac:dyDescent="0.35">
      <c r="B38" s="9"/>
      <c r="C38" s="12" t="str">
        <f>_xlfn.CONCAT("T(",df_unequal_sd,"df) two tailed:")</f>
        <v>T(166df) two tailed:</v>
      </c>
      <c r="D38" s="99">
        <f>_xlfn.T.DIST.2T(ABS(t_stat_unequal_sd), df_unequal_sd)</f>
        <v>7.3252864861219659E-4</v>
      </c>
      <c r="E38" s="77" t="str">
        <f t="shared" ca="1" si="1"/>
        <v>=T.DIST.2T(ABS(t_stat_unequal_sd), df_unequal_sd)</v>
      </c>
    </row>
    <row r="39" spans="2:5" x14ac:dyDescent="0.35">
      <c r="B39" s="9"/>
      <c r="C39" s="12" t="s">
        <v>124</v>
      </c>
      <c r="D39" s="62">
        <f>IF(hypo_type=1,t_lt,IF(hypo_type=2,t_ut,t_2t))</f>
        <v>3.6626432430609829E-4</v>
      </c>
      <c r="E39" s="77" t="str">
        <f t="shared" ca="1" si="1"/>
        <v>=IF(hypo_type=1,t_lt,IF(hypo_type=2,t_ut,t_2t))</v>
      </c>
    </row>
    <row r="40" spans="2:5" x14ac:dyDescent="0.35">
      <c r="B40" s="147" t="s">
        <v>120</v>
      </c>
      <c r="C40" s="10"/>
      <c r="D40" s="149" t="str">
        <f>IF(assumption_sd=2,"Selected","")</f>
        <v/>
      </c>
    </row>
    <row r="41" spans="2:5" x14ac:dyDescent="0.35">
      <c r="B41" s="9"/>
      <c r="C41" s="12" t="s">
        <v>113</v>
      </c>
      <c r="D41" s="148">
        <f>n_1+n_2-2</f>
        <v>168</v>
      </c>
      <c r="E41" s="77" t="str">
        <f ca="1">_xlfn.FORMULATEXT(D41)</f>
        <v>=n_1+n_2-2</v>
      </c>
    </row>
    <row r="42" spans="2:5" x14ac:dyDescent="0.35">
      <c r="B42" s="9"/>
      <c r="C42" s="48" t="s">
        <v>109</v>
      </c>
      <c r="D42" s="99">
        <f>((n_1-1)*sd_1^2+(n_2-1)*sd_2^2)/(n_1+n_2-2)</f>
        <v>1.7960240000000001</v>
      </c>
      <c r="E42" s="77" t="str">
        <f ca="1">_xlfn.FORMULATEXT(D42)</f>
        <v>=((n_1-1)*sd_1^2+(n_2-1)*sd_2^2)/(n_1+n_2-2)</v>
      </c>
    </row>
    <row r="43" spans="2:5" ht="15.75" customHeight="1" x14ac:dyDescent="0.45">
      <c r="B43" s="9"/>
      <c r="C43" s="12" t="s">
        <v>110</v>
      </c>
      <c r="D43" s="99">
        <f>SQRT(pooled_sample_var)*(SQRT((1/n_1)+(1/n_2)))</f>
        <v>0.20558511156024434</v>
      </c>
      <c r="E43" s="77" t="str">
        <f ca="1">_xlfn.FORMULATEXT(D43)</f>
        <v>=SQRT(pooled_sample_var)*(SQRT((1/n_1)+(1/n_2)))</v>
      </c>
    </row>
    <row r="44" spans="2:5" x14ac:dyDescent="0.35">
      <c r="B44" s="9"/>
      <c r="C44" s="12" t="s">
        <v>119</v>
      </c>
      <c r="D44" s="99">
        <f>sample_diff_minus_null_hypo_diff/se_diff_equal_sd</f>
        <v>3.4438291500137574</v>
      </c>
      <c r="E44" s="77" t="str">
        <f t="shared" ref="E44" ca="1" si="2">_xlfn.FORMULATEXT(D44)</f>
        <v>=sample_diff_minus_null_hypo_diff/se_diff_equal_sd</v>
      </c>
    </row>
    <row r="45" spans="2:5" x14ac:dyDescent="0.35">
      <c r="B45" s="9"/>
      <c r="C45" s="12" t="str">
        <f>_xlfn.CONCAT("T(",df_equal_sd,"df) lower tail:")</f>
        <v>T(168df) lower tail:</v>
      </c>
      <c r="D45" s="99">
        <f>_xlfn.T.DIST(t_stat_equal_sd,df_equal_sd,TRUE)</f>
        <v>0.99963791874200403</v>
      </c>
      <c r="E45" s="77" t="str">
        <f ca="1">_xlfn.FORMULATEXT(D45)</f>
        <v>=T.DIST(t_stat_equal_sd,df_equal_sd,TRUE)</v>
      </c>
    </row>
    <row r="46" spans="2:5" x14ac:dyDescent="0.35">
      <c r="B46" s="9"/>
      <c r="C46" s="12" t="str">
        <f>_xlfn.CONCAT("T(",df_equal_sd,"df) upper tail:")</f>
        <v>T(168df) upper tail:</v>
      </c>
      <c r="D46" s="99">
        <f>_xlfn.T.DIST.RT(t_stat_equal_sd,df_equal_sd)</f>
        <v>3.620812579960149E-4</v>
      </c>
      <c r="E46" s="77" t="str">
        <f t="shared" ref="E46:E47" ca="1" si="3">_xlfn.FORMULATEXT(D46)</f>
        <v>=T.DIST.RT(t_stat_equal_sd,df_equal_sd)</v>
      </c>
    </row>
    <row r="47" spans="2:5" x14ac:dyDescent="0.35">
      <c r="B47" s="9"/>
      <c r="C47" s="12" t="str">
        <f>_xlfn.CONCAT("T(",df_equal_sd,"df) two tailed:")</f>
        <v>T(168df) two tailed:</v>
      </c>
      <c r="D47" s="99">
        <f>_xlfn.T.DIST.2T(ABS(t_stat_equal_sd), df_equal_sd)</f>
        <v>7.2416251599202979E-4</v>
      </c>
      <c r="E47" s="77" t="str">
        <f t="shared" ca="1" si="3"/>
        <v>=T.DIST.2T(ABS(t_stat_equal_sd), df_equal_sd)</v>
      </c>
    </row>
    <row r="48" spans="2:5" ht="16.5" customHeight="1" x14ac:dyDescent="0.35">
      <c r="B48" s="9"/>
      <c r="C48" s="12" t="s">
        <v>124</v>
      </c>
      <c r="D48" s="135">
        <f>IF(hypo_type=1,t_equal_sd_lt,IF(hypo_type=2,t_equal_sd_ut,t_equal_sd_2t))</f>
        <v>3.620812579960149E-4</v>
      </c>
      <c r="E48" s="155" t="str">
        <f t="shared" ref="E48" ca="1" si="4">_xlfn.FORMULATEXT(D48)</f>
        <v>=IF(hypo_type=1,t_equal_sd_lt,IF(hypo_type=2,t_equal_sd_ut,t_equal_sd_2t))</v>
      </c>
    </row>
    <row r="49" spans="2:5" x14ac:dyDescent="0.35">
      <c r="B49" s="147" t="s">
        <v>121</v>
      </c>
      <c r="C49" s="12"/>
      <c r="D49" s="149" t="str">
        <f>IF(assumption_sd=1,"Selected","")</f>
        <v/>
      </c>
    </row>
    <row r="50" spans="2:5" ht="15.75" customHeight="1" x14ac:dyDescent="0.35">
      <c r="B50" s="9"/>
      <c r="C50" s="12" t="s">
        <v>118</v>
      </c>
      <c r="D50" s="99">
        <f>SQRT(se_1^2 + se_2^2)</f>
        <v>0.20573753829147706</v>
      </c>
      <c r="E50" s="77" t="str">
        <f t="shared" ref="E50" ca="1" si="5">_xlfn.FORMULATEXT(D50)</f>
        <v>=SQRT(se_1^2 + se_2^2)</v>
      </c>
    </row>
    <row r="51" spans="2:5" x14ac:dyDescent="0.35">
      <c r="B51" s="9"/>
      <c r="C51" s="12" t="s">
        <v>117</v>
      </c>
      <c r="D51" s="99">
        <f>sample_diff_minus_null_hypo_diff/se_diff</f>
        <v>3.4412776874823212</v>
      </c>
      <c r="E51" s="77" t="str">
        <f t="shared" ref="E51" ca="1" si="6">_xlfn.FORMULATEXT(D51)</f>
        <v>=sample_diff_minus_null_hypo_diff/se_diff</v>
      </c>
    </row>
    <row r="52" spans="2:5" x14ac:dyDescent="0.35">
      <c r="B52" s="9"/>
      <c r="C52" s="12" t="s">
        <v>114</v>
      </c>
      <c r="D52" s="99">
        <f>_xlfn.NORM.S.DIST(z_statistic,TRUE)</f>
        <v>0.99971051298987923</v>
      </c>
      <c r="E52" s="77" t="str">
        <f t="shared" ca="1" si="1"/>
        <v>=NORM.S.DIST(z_statistic,TRUE)</v>
      </c>
    </row>
    <row r="53" spans="2:5" x14ac:dyDescent="0.35">
      <c r="B53" s="9"/>
      <c r="C53" s="12" t="s">
        <v>115</v>
      </c>
      <c r="D53" s="99">
        <f>1-(_xlfn.NORM.S.DIST(z_statistic,TRUE))</f>
        <v>2.8948701012077027E-4</v>
      </c>
      <c r="E53" s="77" t="str">
        <f t="shared" ca="1" si="1"/>
        <v>=1-(NORM.S.DIST(z_statistic,TRUE))</v>
      </c>
    </row>
    <row r="54" spans="2:5" x14ac:dyDescent="0.35">
      <c r="B54" s="9"/>
      <c r="C54" s="12" t="s">
        <v>116</v>
      </c>
      <c r="D54" s="99">
        <f>MIN(z_lt,z_ut)*2</f>
        <v>5.7897402024154054E-4</v>
      </c>
      <c r="E54" s="77" t="str">
        <f t="shared" ca="1" si="1"/>
        <v>=MIN(z_lt,z_ut)*2</v>
      </c>
    </row>
    <row r="55" spans="2:5" x14ac:dyDescent="0.35">
      <c r="B55" s="13"/>
      <c r="C55" s="27" t="s">
        <v>124</v>
      </c>
      <c r="D55" s="115">
        <f>IF(hypo_type=1,z_lt,IF(hypo_type=2,z_ut,z_2t))</f>
        <v>2.8948701012077027E-4</v>
      </c>
      <c r="E55" s="77" t="str">
        <f t="shared" ca="1" si="1"/>
        <v>=IF(hypo_type=1,z_lt,IF(hypo_type=2,z_ut,z_2t))</v>
      </c>
    </row>
    <row r="57" spans="2:5" x14ac:dyDescent="0.35">
      <c r="B57" s="103" t="s">
        <v>28</v>
      </c>
      <c r="C57" s="43"/>
    </row>
    <row r="58" spans="2:5" x14ac:dyDescent="0.35">
      <c r="B58" s="18" t="s">
        <v>108</v>
      </c>
      <c r="C58" s="46">
        <v>2</v>
      </c>
    </row>
    <row r="59" spans="2:5" x14ac:dyDescent="0.35">
      <c r="B59" s="19" t="s">
        <v>100</v>
      </c>
      <c r="C59" s="28">
        <v>3</v>
      </c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2" r:id="rId4" name="Option Button 6">
              <controlPr defaultSize="0" autoFill="0" autoLine="0" autoPict="0">
                <anchor moveWithCells="1">
                  <from>
                    <xdr:col>2</xdr:col>
                    <xdr:colOff>400050</xdr:colOff>
                    <xdr:row>9</xdr:row>
                    <xdr:rowOff>69850</xdr:rowOff>
                  </from>
                  <to>
                    <xdr:col>2</xdr:col>
                    <xdr:colOff>647700</xdr:colOff>
                    <xdr:row>10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5" name="Option Button 7">
              <controlPr defaultSize="0" autoFill="0" autoLine="0" autoPict="0">
                <anchor moveWithCells="1">
                  <from>
                    <xdr:col>3</xdr:col>
                    <xdr:colOff>355600</xdr:colOff>
                    <xdr:row>9</xdr:row>
                    <xdr:rowOff>57150</xdr:rowOff>
                  </from>
                  <to>
                    <xdr:col>3</xdr:col>
                    <xdr:colOff>527050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6" name="Option Button 8">
              <controlPr defaultSize="0" autoFill="0" autoLine="0" autoPict="0">
                <anchor moveWithCells="1">
                  <from>
                    <xdr:col>4</xdr:col>
                    <xdr:colOff>438150</xdr:colOff>
                    <xdr:row>9</xdr:row>
                    <xdr:rowOff>50800</xdr:rowOff>
                  </from>
                  <to>
                    <xdr:col>4</xdr:col>
                    <xdr:colOff>622300</xdr:colOff>
                    <xdr:row>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7" name="Option Button 12">
              <controlPr defaultSize="0" autoFill="0" autoLine="0" autoPict="0">
                <anchor moveWithCells="1">
                  <from>
                    <xdr:col>3</xdr:col>
                    <xdr:colOff>50800</xdr:colOff>
                    <xdr:row>16</xdr:row>
                    <xdr:rowOff>19050</xdr:rowOff>
                  </from>
                  <to>
                    <xdr:col>3</xdr:col>
                    <xdr:colOff>488950</xdr:colOff>
                    <xdr:row>16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8" name="Option Button 13">
              <controlPr defaultSize="0" autoFill="0" autoLine="0" autoPict="0">
                <anchor moveWithCells="1">
                  <from>
                    <xdr:col>3</xdr:col>
                    <xdr:colOff>38100</xdr:colOff>
                    <xdr:row>17</xdr:row>
                    <xdr:rowOff>19050</xdr:rowOff>
                  </from>
                  <to>
                    <xdr:col>3</xdr:col>
                    <xdr:colOff>495300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9" name="Option Button 14">
              <controlPr defaultSize="0" autoFill="0" autoLine="0" autoPict="0">
                <anchor moveWithCells="1">
                  <from>
                    <xdr:col>3</xdr:col>
                    <xdr:colOff>38100</xdr:colOff>
                    <xdr:row>18</xdr:row>
                    <xdr:rowOff>0</xdr:rowOff>
                  </from>
                  <to>
                    <xdr:col>3</xdr:col>
                    <xdr:colOff>527050</xdr:colOff>
                    <xdr:row>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0" name="Group Box 15">
              <controlPr defaultSize="0" autoFill="0" autoPict="0">
                <anchor moveWithCells="1">
                  <from>
                    <xdr:col>1</xdr:col>
                    <xdr:colOff>152400</xdr:colOff>
                    <xdr:row>15</xdr:row>
                    <xdr:rowOff>95250</xdr:rowOff>
                  </from>
                  <to>
                    <xdr:col>5</xdr:col>
                    <xdr:colOff>762000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1" name="Group Box 16">
              <controlPr defaultSize="0" autoFill="0" autoPict="0">
                <anchor moveWithCells="1">
                  <from>
                    <xdr:col>1</xdr:col>
                    <xdr:colOff>171450</xdr:colOff>
                    <xdr:row>5</xdr:row>
                    <xdr:rowOff>88900</xdr:rowOff>
                  </from>
                  <to>
                    <xdr:col>5</xdr:col>
                    <xdr:colOff>774700</xdr:colOff>
                    <xdr:row>11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127</vt:i4>
      </vt:variant>
    </vt:vector>
  </HeadingPairs>
  <TitlesOfParts>
    <vt:vector size="137" baseType="lpstr">
      <vt:lpstr>Cover Sheet</vt:lpstr>
      <vt:lpstr>CI Proportion</vt:lpstr>
      <vt:lpstr>CI Mean</vt:lpstr>
      <vt:lpstr>CI Diff. Proportions</vt:lpstr>
      <vt:lpstr>CI Diff. Means</vt:lpstr>
      <vt:lpstr>One Proportion Test</vt:lpstr>
      <vt:lpstr>One Mean Test</vt:lpstr>
      <vt:lpstr>Two Proportions Test</vt:lpstr>
      <vt:lpstr>Two Means Test</vt:lpstr>
      <vt:lpstr>Normality of Residuals</vt:lpstr>
      <vt:lpstr>'CI Diff. Means'!alpha</vt:lpstr>
      <vt:lpstr>'CI Diff. Proportions'!alpha</vt:lpstr>
      <vt:lpstr>'CI Mean'!alpha</vt:lpstr>
      <vt:lpstr>'CI Proportion'!alpha</vt:lpstr>
      <vt:lpstr>'Normality of Residuals'!alpha</vt:lpstr>
      <vt:lpstr>'One Mean Test'!alpha</vt:lpstr>
      <vt:lpstr>'One Proportion Test'!alpha</vt:lpstr>
      <vt:lpstr>'Two Means Test'!alpha</vt:lpstr>
      <vt:lpstr>'Two Proportions Test'!alpha</vt:lpstr>
      <vt:lpstr>'Two Means Test'!assumption_sd</vt:lpstr>
      <vt:lpstr>'CI Mean'!conf.norm</vt:lpstr>
      <vt:lpstr>'CI Mean'!conf.t</vt:lpstr>
      <vt:lpstr>'CI Diff. Means'!critical_value</vt:lpstr>
      <vt:lpstr>'CI Mean'!critical_value</vt:lpstr>
      <vt:lpstr>'One Mean Test'!df</vt:lpstr>
      <vt:lpstr>'Two Means Test'!df_equal_sd</vt:lpstr>
      <vt:lpstr>'Two Means Test'!df_unequal_sd</vt:lpstr>
      <vt:lpstr>'CI Diff. Means'!difference</vt:lpstr>
      <vt:lpstr>'CI Diff. Proportions'!difference</vt:lpstr>
      <vt:lpstr>'One Mean Test'!hypo_type</vt:lpstr>
      <vt:lpstr>'One Proportion Test'!hypo_type</vt:lpstr>
      <vt:lpstr>'Two Means Test'!hypo_type</vt:lpstr>
      <vt:lpstr>'Two Proportions Test'!hypo_type</vt:lpstr>
      <vt:lpstr>'Normality of Residuals'!kurtosis</vt:lpstr>
      <vt:lpstr>'CI Diff. Means'!me</vt:lpstr>
      <vt:lpstr>'CI Diff. Proportions'!me</vt:lpstr>
      <vt:lpstr>'CI Mean'!me</vt:lpstr>
      <vt:lpstr>'CI Proportion'!me</vt:lpstr>
      <vt:lpstr>'CI Mean'!mean</vt:lpstr>
      <vt:lpstr>'One Mean Test'!mean</vt:lpstr>
      <vt:lpstr>'CI Diff. Means'!mean_1</vt:lpstr>
      <vt:lpstr>'Two Means Test'!mean_1</vt:lpstr>
      <vt:lpstr>'CI Diff. Means'!mean_2</vt:lpstr>
      <vt:lpstr>'Two Means Test'!mean_2</vt:lpstr>
      <vt:lpstr>'CI Mean'!n</vt:lpstr>
      <vt:lpstr>'CI Proportion'!n</vt:lpstr>
      <vt:lpstr>'One Mean Test'!n</vt:lpstr>
      <vt:lpstr>'Normality of Residuals'!n.sample</vt:lpstr>
      <vt:lpstr>'CI Diff. Means'!n_1</vt:lpstr>
      <vt:lpstr>'CI Diff. Proportions'!n_1</vt:lpstr>
      <vt:lpstr>'Two Means Test'!n_1</vt:lpstr>
      <vt:lpstr>'Two Proportions Test'!n_1</vt:lpstr>
      <vt:lpstr>'CI Diff. Means'!n_2</vt:lpstr>
      <vt:lpstr>'CI Diff. Proportions'!n_2</vt:lpstr>
      <vt:lpstr>'Two Means Test'!n_2</vt:lpstr>
      <vt:lpstr>'Two Proportions Test'!n_2</vt:lpstr>
      <vt:lpstr>'Two Means Test'!null_hypo_diff</vt:lpstr>
      <vt:lpstr>'Two Proportions Test'!null_hypo_diff</vt:lpstr>
      <vt:lpstr>'One Mean Test'!null_hypo_mean</vt:lpstr>
      <vt:lpstr>'One Proportion Test'!null_hypo_p</vt:lpstr>
      <vt:lpstr>'CI Proportion'!p</vt:lpstr>
      <vt:lpstr>'CI Diff. Proportions'!p_1</vt:lpstr>
      <vt:lpstr>'Two Proportions Test'!p_1</vt:lpstr>
      <vt:lpstr>'CI Diff. Proportions'!p_2</vt:lpstr>
      <vt:lpstr>'Two Proportions Test'!p_2</vt:lpstr>
      <vt:lpstr>'One Mean Test'!p_using_t</vt:lpstr>
      <vt:lpstr>'Two Means Test'!p_using_t_equal_sd</vt:lpstr>
      <vt:lpstr>'Two Means Test'!p_using_t_unequal_sd</vt:lpstr>
      <vt:lpstr>'One Mean Test'!p_using_z</vt:lpstr>
      <vt:lpstr>'Two Means Test'!p_using_z</vt:lpstr>
      <vt:lpstr>'One Mean Test'!p_value</vt:lpstr>
      <vt:lpstr>'One Proportion Test'!p_value</vt:lpstr>
      <vt:lpstr>'Two Means Test'!p_value</vt:lpstr>
      <vt:lpstr>'Two Proportions Test'!p_value</vt:lpstr>
      <vt:lpstr>'Two Proportions Test'!pooled_p</vt:lpstr>
      <vt:lpstr>'Two Means Test'!pooled_sample_var</vt:lpstr>
      <vt:lpstr>'Two Proportions Test'!pooled_se</vt:lpstr>
      <vt:lpstr>'CI Diff. Means'!pop_sd_known</vt:lpstr>
      <vt:lpstr>'CI Mean'!pop_sd_known</vt:lpstr>
      <vt:lpstr>'One Mean Test'!pop_sd_known</vt:lpstr>
      <vt:lpstr>'Normality of Residuals'!residuals</vt:lpstr>
      <vt:lpstr>'Two Means Test'!sample_diff_minus_null_hypo_diff</vt:lpstr>
      <vt:lpstr>'Two Proportions Test'!sample_diff_minus_null_hypo_diff</vt:lpstr>
      <vt:lpstr>'One Proportion Test'!sample_n</vt:lpstr>
      <vt:lpstr>'One Proportion Test'!sample_p</vt:lpstr>
      <vt:lpstr>'One Mean Test'!sd</vt:lpstr>
      <vt:lpstr>'CI Diff. Means'!sd_1</vt:lpstr>
      <vt:lpstr>'Two Means Test'!sd_1</vt:lpstr>
      <vt:lpstr>'CI Diff. Means'!sd_2</vt:lpstr>
      <vt:lpstr>'Two Means Test'!sd_2</vt:lpstr>
      <vt:lpstr>'CI Mean'!se</vt:lpstr>
      <vt:lpstr>'CI Proportion'!se</vt:lpstr>
      <vt:lpstr>'One Mean Test'!se</vt:lpstr>
      <vt:lpstr>'CI Diff. Means'!se_1</vt:lpstr>
      <vt:lpstr>'CI Diff. Proportions'!se_1</vt:lpstr>
      <vt:lpstr>'Two Means Test'!se_1</vt:lpstr>
      <vt:lpstr>'CI Diff. Means'!se_2</vt:lpstr>
      <vt:lpstr>'CI Diff. Proportions'!se_2</vt:lpstr>
      <vt:lpstr>'Two Means Test'!se_2</vt:lpstr>
      <vt:lpstr>'Two Means Test'!se_diff</vt:lpstr>
      <vt:lpstr>'Two Means Test'!se_diff_equal_sd</vt:lpstr>
      <vt:lpstr>'CI Diff. Means'!se_difference</vt:lpstr>
      <vt:lpstr>'CI Diff. Proportions'!se_difference</vt:lpstr>
      <vt:lpstr>'One Proportion Test'!se_of_null_hypo_p</vt:lpstr>
      <vt:lpstr>'Normality of Residuals'!skewness</vt:lpstr>
      <vt:lpstr>'CI Mean'!stdev</vt:lpstr>
      <vt:lpstr>'Normality of Residuals'!stdev</vt:lpstr>
      <vt:lpstr>'Two Means Test'!t_2t</vt:lpstr>
      <vt:lpstr>'CI Diff. Means'!t_df</vt:lpstr>
      <vt:lpstr>'Two Means Test'!t_equal_sd_2t</vt:lpstr>
      <vt:lpstr>'Two Means Test'!t_equal_sd_lt</vt:lpstr>
      <vt:lpstr>'Two Means Test'!t_equal_sd_ut</vt:lpstr>
      <vt:lpstr>'One Mean Test'!t_lower_tail</vt:lpstr>
      <vt:lpstr>'Two Means Test'!t_lt</vt:lpstr>
      <vt:lpstr>'Two Means Test'!t_stat_equal_sd</vt:lpstr>
      <vt:lpstr>'Two Means Test'!t_stat_unequal_sd</vt:lpstr>
      <vt:lpstr>'One Mean Test'!t_two_tails</vt:lpstr>
      <vt:lpstr>'One Mean Test'!t_upper_tail</vt:lpstr>
      <vt:lpstr>'Two Means Test'!t_ut</vt:lpstr>
      <vt:lpstr>'One Mean Test'!test_stat</vt:lpstr>
      <vt:lpstr>'One Proportion Test'!z_2t</vt:lpstr>
      <vt:lpstr>'Two Means Test'!z_2t</vt:lpstr>
      <vt:lpstr>'Two Proportions Test'!z_2t</vt:lpstr>
      <vt:lpstr>'CI Diff. Proportions'!Z_critical</vt:lpstr>
      <vt:lpstr>'CI Proportion'!Z_critical</vt:lpstr>
      <vt:lpstr>'One Mean Test'!z_lower_tail</vt:lpstr>
      <vt:lpstr>'One Proportion Test'!z_lt</vt:lpstr>
      <vt:lpstr>'Two Means Test'!z_lt</vt:lpstr>
      <vt:lpstr>'Two Proportions Test'!z_lt</vt:lpstr>
      <vt:lpstr>'One Proportion Test'!z_statistic</vt:lpstr>
      <vt:lpstr>'Two Means Test'!z_statistic</vt:lpstr>
      <vt:lpstr>'Two Proportions Test'!z_statistic</vt:lpstr>
      <vt:lpstr>'One Mean Test'!z_two_tails</vt:lpstr>
      <vt:lpstr>'One Mean Test'!z_upper_tail</vt:lpstr>
      <vt:lpstr>'One Proportion Test'!z_ut</vt:lpstr>
      <vt:lpstr>'Two Means Test'!z_ut</vt:lpstr>
      <vt:lpstr>'Two Proportions Test'!z_ut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 Edwards</dc:creator>
  <cp:lastModifiedBy>Ivey Mellem</cp:lastModifiedBy>
  <dcterms:created xsi:type="dcterms:W3CDTF">2020-04-25T21:53:34Z</dcterms:created>
  <dcterms:modified xsi:type="dcterms:W3CDTF">2021-11-08T18:18:19Z</dcterms:modified>
</cp:coreProperties>
</file>